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tables/table1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doo\spreadsheet\tests\__xlsx__\"/>
    </mc:Choice>
  </mc:AlternateContent>
  <xr:revisionPtr revIDLastSave="0" documentId="13_ncr:1_{025CE0C2-2400-4CDC-9205-0F92FDB6A7D3}" xr6:coauthVersionLast="47" xr6:coauthVersionMax="47" xr10:uidLastSave="{00000000-0000-0000-0000-000000000000}"/>
  <bookViews>
    <workbookView xWindow="-120" yWindow="-120" windowWidth="29040" windowHeight="15720" firstSheet="7" activeTab="7" xr2:uid="{00000000-000D-0000-FFFF-FFFF00000000}"/>
  </bookViews>
  <sheets>
    <sheet name="Sheet1" sheetId="1" r:id="rId1"/>
    <sheet name="Formulas" sheetId="3" r:id="rId2"/>
    <sheet name="jestSheet" sheetId="9" r:id="rId3"/>
    <sheet name="jestStyles" sheetId="4" r:id="rId4"/>
    <sheet name="jestCfs" sheetId="5" r:id="rId5"/>
    <sheet name="jestTable" sheetId="10" r:id="rId6"/>
    <sheet name="jestPivot" sheetId="11" r:id="rId7"/>
    <sheet name="jestCharts" sheetId="2" r:id="rId8"/>
    <sheet name="jestMiscTest" sheetId="12" r:id="rId9"/>
    <sheet name="jestHiddenSheet" sheetId="13" state="hidden" r:id="rId10"/>
    <sheet name="jestFreezePane" sheetId="14" r:id="rId11"/>
    <sheet name="jestImages" sheetId="15" r:id="rId12"/>
    <sheet name="jestOneCellAnchor" sheetId="16" r:id="rId13"/>
    <sheet name="jestDataValidations" sheetId="17" r:id="rId14"/>
    <sheet name="jestLocked" sheetId="18" r:id="rId15"/>
    <sheet name="jestPartiallyLocked" sheetId="19" r:id="rId16"/>
  </sheets>
  <externalReferences>
    <externalReference r:id="rId17"/>
    <externalReference r:id="rId18"/>
  </externalReferences>
  <definedNames>
    <definedName name="My_Named_Range">jestMiscTest!$A$8:$B$10</definedName>
    <definedName name="Table_Col_Named_Range">Table10[Col1]</definedName>
    <definedName name="Table_Named_Range">Table10[]</definedName>
  </definedNames>
  <calcPr calcId="191028"/>
  <pivotCaches>
    <pivotCache cacheId="1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9" l="1" a="1"/>
  <c r="G9" i="10" l="1"/>
  <c r="I9" i="10"/>
  <c r="J9" i="10"/>
  <c r="H2" i="9"/>
  <c r="A2" i="9"/>
  <c r="D28" i="10"/>
  <c r="F5" i="10"/>
  <c r="G5" i="10"/>
  <c r="J5" i="10"/>
  <c r="D6" i="10"/>
  <c r="H9" i="10" s="1"/>
  <c r="J4" i="10"/>
  <c r="J6" i="10" s="1"/>
  <c r="G4" i="10"/>
  <c r="F4" i="10"/>
  <c r="E6" i="10"/>
  <c r="H4" i="10" s="1"/>
  <c r="C12" i="5"/>
  <c r="B12" i="5"/>
  <c r="C10" i="5"/>
  <c r="B5" i="5"/>
  <c r="R3" i="3"/>
  <c r="R4" i="3"/>
  <c r="R5" i="3"/>
  <c r="R6" i="3"/>
  <c r="R2" i="3"/>
  <c r="Q3" i="3"/>
  <c r="Q4" i="3"/>
  <c r="Q5" i="3"/>
  <c r="Q6" i="3"/>
  <c r="Q2" i="3"/>
  <c r="P2" i="3"/>
  <c r="P3" i="3"/>
  <c r="P4" i="3"/>
  <c r="P5" i="3"/>
  <c r="P6" i="3"/>
  <c r="C9" i="1"/>
  <c r="B161" i="3"/>
  <c r="D161" i="3" s="1"/>
  <c r="B160" i="3"/>
  <c r="D160" i="3" s="1"/>
  <c r="B159" i="3"/>
  <c r="D159" i="3" s="1"/>
  <c r="B158" i="3"/>
  <c r="D158" i="3" s="1"/>
  <c r="B157" i="3"/>
  <c r="D157" i="3" s="1"/>
  <c r="B156" i="3"/>
  <c r="D156" i="3" s="1"/>
  <c r="B155" i="3"/>
  <c r="D155" i="3" s="1"/>
  <c r="C154" i="3"/>
  <c r="B154" i="3"/>
  <c r="B153" i="3"/>
  <c r="D153" i="3" s="1"/>
  <c r="B152" i="3"/>
  <c r="D152" i="3" s="1"/>
  <c r="B151" i="3"/>
  <c r="D151" i="3" s="1"/>
  <c r="B150" i="3"/>
  <c r="D150" i="3" s="1"/>
  <c r="B149" i="3"/>
  <c r="D149" i="3" s="1"/>
  <c r="B148" i="3"/>
  <c r="D148" i="3" s="1"/>
  <c r="B147" i="3"/>
  <c r="D147" i="3" s="1"/>
  <c r="B146" i="3"/>
  <c r="D146" i="3" s="1"/>
  <c r="B145" i="3"/>
  <c r="D145" i="3" s="1"/>
  <c r="B144" i="3"/>
  <c r="D144" i="3" s="1"/>
  <c r="B143" i="3"/>
  <c r="D143" i="3" s="1"/>
  <c r="B142" i="3"/>
  <c r="D142" i="3" s="1"/>
  <c r="B141" i="3"/>
  <c r="D141" i="3" s="1"/>
  <c r="B140" i="3"/>
  <c r="D140" i="3" s="1"/>
  <c r="B139" i="3"/>
  <c r="D139" i="3" s="1"/>
  <c r="B138" i="3"/>
  <c r="D138" i="3" s="1"/>
  <c r="B137" i="3"/>
  <c r="D137" i="3" s="1"/>
  <c r="B136" i="3"/>
  <c r="D136" i="3" s="1"/>
  <c r="B135" i="3"/>
  <c r="D135" i="3" s="1"/>
  <c r="B134" i="3"/>
  <c r="D134" i="3" s="1"/>
  <c r="B133" i="3"/>
  <c r="D133" i="3" s="1"/>
  <c r="B132" i="3"/>
  <c r="D132" i="3" s="1"/>
  <c r="B131" i="3"/>
  <c r="D131" i="3" s="1"/>
  <c r="B130" i="3"/>
  <c r="D130" i="3" s="1"/>
  <c r="B129" i="3"/>
  <c r="D129" i="3" s="1"/>
  <c r="B128" i="3"/>
  <c r="D128" i="3" s="1"/>
  <c r="B127" i="3"/>
  <c r="D127" i="3" s="1"/>
  <c r="B126" i="3"/>
  <c r="D126" i="3" s="1"/>
  <c r="B125" i="3"/>
  <c r="D125" i="3" s="1"/>
  <c r="B124" i="3"/>
  <c r="D124" i="3" s="1"/>
  <c r="B123" i="3"/>
  <c r="D123" i="3" s="1"/>
  <c r="B122" i="3"/>
  <c r="D122" i="3" s="1"/>
  <c r="B121" i="3"/>
  <c r="D121" i="3" s="1"/>
  <c r="B120" i="3"/>
  <c r="D120" i="3" s="1"/>
  <c r="B119" i="3"/>
  <c r="D119" i="3" s="1"/>
  <c r="B118" i="3"/>
  <c r="D118" i="3" s="1"/>
  <c r="B117" i="3"/>
  <c r="D117" i="3" s="1"/>
  <c r="B116" i="3"/>
  <c r="D116" i="3" s="1"/>
  <c r="B115" i="3"/>
  <c r="D115" i="3" s="1"/>
  <c r="B114" i="3"/>
  <c r="D114" i="3" s="1"/>
  <c r="B113" i="3"/>
  <c r="D113" i="3" s="1"/>
  <c r="B111" i="3"/>
  <c r="D111" i="3" s="1"/>
  <c r="B110" i="3"/>
  <c r="D110" i="3" s="1"/>
  <c r="B109" i="3"/>
  <c r="D109" i="3" s="1"/>
  <c r="B108" i="3"/>
  <c r="D108" i="3" s="1"/>
  <c r="B107" i="3"/>
  <c r="D107" i="3" s="1"/>
  <c r="B106" i="3"/>
  <c r="D106" i="3" s="1"/>
  <c r="B105" i="3"/>
  <c r="D105" i="3" s="1"/>
  <c r="B104" i="3"/>
  <c r="D104" i="3" s="1"/>
  <c r="B103" i="3"/>
  <c r="D103" i="3" s="1"/>
  <c r="B102" i="3"/>
  <c r="D102" i="3" s="1"/>
  <c r="B101" i="3"/>
  <c r="D101" i="3" s="1"/>
  <c r="B100" i="3"/>
  <c r="D100" i="3" s="1"/>
  <c r="B99" i="3"/>
  <c r="D99" i="3" s="1"/>
  <c r="B98" i="3"/>
  <c r="D98" i="3" s="1"/>
  <c r="B97" i="3"/>
  <c r="D97" i="3" s="1"/>
  <c r="B96" i="3"/>
  <c r="D96" i="3" s="1"/>
  <c r="B95" i="3"/>
  <c r="D95" i="3" s="1"/>
  <c r="B94" i="3"/>
  <c r="D94" i="3" s="1"/>
  <c r="B93" i="3"/>
  <c r="D93" i="3" s="1"/>
  <c r="B92" i="3"/>
  <c r="D92" i="3" s="1"/>
  <c r="B91" i="3"/>
  <c r="D91" i="3" s="1"/>
  <c r="B90" i="3"/>
  <c r="D90" i="3" s="1"/>
  <c r="B89" i="3"/>
  <c r="D89" i="3" s="1"/>
  <c r="B88" i="3"/>
  <c r="D88" i="3" s="1"/>
  <c r="B87" i="3"/>
  <c r="D87" i="3" s="1"/>
  <c r="B86" i="3"/>
  <c r="D86" i="3" s="1"/>
  <c r="B85" i="3"/>
  <c r="D85" i="3" s="1"/>
  <c r="B84" i="3"/>
  <c r="D84" i="3" s="1"/>
  <c r="B83" i="3"/>
  <c r="D83" i="3" s="1"/>
  <c r="B82" i="3"/>
  <c r="D82" i="3" s="1"/>
  <c r="B81" i="3"/>
  <c r="D81" i="3" s="1"/>
  <c r="B80" i="3"/>
  <c r="D80" i="3" s="1"/>
  <c r="B79" i="3"/>
  <c r="D79" i="3" s="1"/>
  <c r="B78" i="3"/>
  <c r="D78" i="3" s="1"/>
  <c r="B77" i="3"/>
  <c r="D77" i="3" s="1"/>
  <c r="B76" i="3"/>
  <c r="D76" i="3" s="1"/>
  <c r="B75" i="3"/>
  <c r="D75" i="3" s="1"/>
  <c r="B74" i="3"/>
  <c r="D74" i="3" s="1"/>
  <c r="B73" i="3"/>
  <c r="D73" i="3" s="1"/>
  <c r="B72" i="3"/>
  <c r="D72" i="3" s="1"/>
  <c r="B71" i="3"/>
  <c r="D71" i="3" s="1"/>
  <c r="B70" i="3"/>
  <c r="D70" i="3" s="1"/>
  <c r="B69" i="3"/>
  <c r="D69" i="3" s="1"/>
  <c r="B68" i="3"/>
  <c r="D68" i="3" s="1"/>
  <c r="B67" i="3"/>
  <c r="D67" i="3" s="1"/>
  <c r="B66" i="3"/>
  <c r="D66" i="3" s="1"/>
  <c r="B64" i="3"/>
  <c r="D64" i="3" s="1"/>
  <c r="B63" i="3"/>
  <c r="D63" i="3" s="1"/>
  <c r="B62" i="3"/>
  <c r="D62" i="3" s="1"/>
  <c r="B61" i="3"/>
  <c r="D61" i="3" s="1"/>
  <c r="B60" i="3"/>
  <c r="D60" i="3" s="1"/>
  <c r="B59" i="3"/>
  <c r="D59" i="3" s="1"/>
  <c r="B58" i="3"/>
  <c r="D58" i="3" s="1"/>
  <c r="B57" i="3"/>
  <c r="D57" i="3" s="1"/>
  <c r="B56" i="3"/>
  <c r="D56" i="3" s="1"/>
  <c r="B55" i="3"/>
  <c r="D55" i="3" s="1"/>
  <c r="B54" i="3"/>
  <c r="D54" i="3" s="1"/>
  <c r="B53" i="3"/>
  <c r="D53" i="3" s="1"/>
  <c r="B52" i="3"/>
  <c r="D52" i="3" s="1"/>
  <c r="C51" i="3"/>
  <c r="B51" i="3"/>
  <c r="C50" i="3"/>
  <c r="B50" i="3"/>
  <c r="D50" i="3" s="1"/>
  <c r="B49" i="3"/>
  <c r="D49" i="3" s="1"/>
  <c r="B48" i="3"/>
  <c r="D48" i="3" s="1"/>
  <c r="B47" i="3"/>
  <c r="D47" i="3" s="1"/>
  <c r="B46" i="3"/>
  <c r="D46" i="3" s="1"/>
  <c r="B45" i="3"/>
  <c r="D45" i="3" s="1"/>
  <c r="B44" i="3"/>
  <c r="D44" i="3" s="1"/>
  <c r="B43" i="3"/>
  <c r="D43" i="3" s="1"/>
  <c r="B42" i="3"/>
  <c r="D42" i="3" s="1"/>
  <c r="B41" i="3"/>
  <c r="D41" i="3" s="1"/>
  <c r="B40" i="3"/>
  <c r="D40" i="3" s="1"/>
  <c r="B39" i="3"/>
  <c r="D39" i="3" s="1"/>
  <c r="C38" i="3"/>
  <c r="B38" i="3"/>
  <c r="B37" i="3"/>
  <c r="D37" i="3" s="1"/>
  <c r="B36" i="3"/>
  <c r="D36" i="3" s="1"/>
  <c r="B35" i="3"/>
  <c r="D35" i="3" s="1"/>
  <c r="B34" i="3"/>
  <c r="D34" i="3" s="1"/>
  <c r="B33" i="3"/>
  <c r="D33" i="3" s="1"/>
  <c r="B32" i="3"/>
  <c r="D32" i="3" s="1"/>
  <c r="B31" i="3"/>
  <c r="D31" i="3" s="1"/>
  <c r="B30" i="3"/>
  <c r="D30" i="3" s="1"/>
  <c r="B29" i="3"/>
  <c r="D29" i="3" s="1"/>
  <c r="C28" i="3"/>
  <c r="B28" i="3"/>
  <c r="B27" i="3"/>
  <c r="D27" i="3" s="1"/>
  <c r="B26" i="3"/>
  <c r="D26" i="3" s="1"/>
  <c r="B25" i="3"/>
  <c r="D25" i="3" s="1"/>
  <c r="C24" i="3"/>
  <c r="B24" i="3"/>
  <c r="D24" i="3" s="1"/>
  <c r="B23" i="3"/>
  <c r="D23" i="3" s="1"/>
  <c r="B22" i="3"/>
  <c r="D22" i="3" s="1"/>
  <c r="B21" i="3"/>
  <c r="D21" i="3" s="1"/>
  <c r="B20" i="3"/>
  <c r="D20" i="3" s="1"/>
  <c r="B19" i="3"/>
  <c r="D19" i="3" s="1"/>
  <c r="B18" i="3"/>
  <c r="D18" i="3" s="1"/>
  <c r="B17" i="3"/>
  <c r="D17" i="3" s="1"/>
  <c r="B16" i="3"/>
  <c r="D16" i="3" s="1"/>
  <c r="B15" i="3"/>
  <c r="D15" i="3" s="1"/>
  <c r="D14" i="3"/>
  <c r="B14" i="3"/>
  <c r="B13" i="3"/>
  <c r="D13" i="3" s="1"/>
  <c r="B12" i="3"/>
  <c r="D12" i="3" s="1"/>
  <c r="B11" i="3"/>
  <c r="D11" i="3" s="1"/>
  <c r="B10" i="3"/>
  <c r="D10" i="3" s="1"/>
  <c r="B9" i="3"/>
  <c r="D9" i="3" s="1"/>
  <c r="B8" i="3"/>
  <c r="D8" i="3" s="1"/>
  <c r="B7" i="3"/>
  <c r="D7" i="3" s="1"/>
  <c r="B6" i="3"/>
  <c r="D6" i="3" s="1"/>
  <c r="B5" i="3"/>
  <c r="D5" i="3" s="1"/>
  <c r="B4" i="3"/>
  <c r="D4" i="3" s="1"/>
  <c r="B3" i="3"/>
  <c r="D3" i="3" s="1"/>
  <c r="B2" i="3"/>
  <c r="D2" i="3" s="1"/>
  <c r="B21" i="1"/>
  <c r="C16" i="1"/>
  <c r="G13" i="1"/>
  <c r="C11" i="1"/>
  <c r="C12" i="1" s="1"/>
  <c r="C10" i="1"/>
  <c r="B65" i="3"/>
  <c r="I5" i="10" l="1"/>
  <c r="H5" i="10"/>
  <c r="F6" i="10"/>
  <c r="G6" i="10"/>
  <c r="I4" i="10"/>
  <c r="I6" i="10" s="1"/>
  <c r="H6" i="10"/>
  <c r="D28" i="3"/>
  <c r="D51" i="3"/>
  <c r="D154" i="3"/>
  <c r="D38" i="3"/>
  <c r="D65" i="3"/>
  <c r="B163" i="3"/>
  <c r="D163" i="3" s="1"/>
  <c r="B162" i="3"/>
  <c r="D162" i="3" l="1"/>
  <c r="F9" i="10"/>
  <c r="C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<sst xmlns="http://schemas.openxmlformats.org/spreadsheetml/2006/main" count="497" uniqueCount="442">
  <si>
    <t>CF =42</t>
  </si>
  <si>
    <t>CF color scale:</t>
  </si>
  <si>
    <t>Owl is awesome</t>
  </si>
  <si>
    <t>italic blablah</t>
  </si>
  <si>
    <t>merged content</t>
  </si>
  <si>
    <t>strikethrough</t>
  </si>
  <si>
    <t>Numbers</t>
  </si>
  <si>
    <t>underline</t>
  </si>
  <si>
    <t>Formulas</t>
  </si>
  <si>
    <t>note that C7 is empty</t>
  </si>
  <si>
    <t>this is a sum of sums</t>
  </si>
  <si>
    <t>Errors</t>
  </si>
  <si>
    <t>=(+</t>
  </si>
  <si>
    <t>=(+)</t>
  </si>
  <si>
    <t>=C1{C2</t>
  </si>
  <si>
    <t>left</t>
  </si>
  <si>
    <t>top</t>
  </si>
  <si>
    <t>all</t>
  </si>
  <si>
    <t>Sheet2 =&gt; B2:</t>
  </si>
  <si>
    <t>https://odoo.com</t>
  </si>
  <si>
    <t>first dataset</t>
  </si>
  <si>
    <t>second dataset</t>
  </si>
  <si>
    <t>Emily Anderson (Emmy)</t>
  </si>
  <si>
    <t>Sophie Allen (Saffi)</t>
  </si>
  <si>
    <t>Chloe Adams</t>
  </si>
  <si>
    <t>Megan Alexander (Meg)</t>
  </si>
  <si>
    <t>Lucy Arnold (Lulu)</t>
  </si>
  <si>
    <t>Hannah Alvarez</t>
  </si>
  <si>
    <t>Jessica Alcock (Jess)</t>
  </si>
  <si>
    <t>Charlotte Anaya</t>
  </si>
  <si>
    <t>Lauren Anthony</t>
  </si>
  <si>
    <t>formulas</t>
  </si>
  <si>
    <t>evaluation</t>
  </si>
  <si>
    <t>expected value</t>
  </si>
  <si>
    <t>is it compatible ?</t>
  </si>
  <si>
    <t>Name</t>
  </si>
  <si>
    <t>Age</t>
  </si>
  <si>
    <t>Hours Played</t>
  </si>
  <si>
    <t>Tot. Score</t>
  </si>
  <si>
    <t>Rank (lower the better)</t>
  </si>
  <si>
    <t>Fixed Refs</t>
  </si>
  <si>
    <t>ABS</t>
  </si>
  <si>
    <t>Robot1</t>
  </si>
  <si>
    <t>ACOS</t>
  </si>
  <si>
    <t>Robot2</t>
  </si>
  <si>
    <t>ACOSH</t>
  </si>
  <si>
    <t>NotACheater</t>
  </si>
  <si>
    <t>ACOT</t>
  </si>
  <si>
    <t>Robot4</t>
  </si>
  <si>
    <t>ACOTH</t>
  </si>
  <si>
    <t>Robot3</t>
  </si>
  <si>
    <t>A</t>
  </si>
  <si>
    <t>AND</t>
  </si>
  <si>
    <t>Robot6</t>
  </si>
  <si>
    <t>ASIN</t>
  </si>
  <si>
    <t>Michel</t>
  </si>
  <si>
    <t>ASINH</t>
  </si>
  <si>
    <t>Robot7</t>
  </si>
  <si>
    <t>ATAN</t>
  </si>
  <si>
    <t>ATAN2</t>
  </si>
  <si>
    <t>criteria</t>
  </si>
  <si>
    <t>ATANH</t>
  </si>
  <si>
    <t>AVEDEV</t>
  </si>
  <si>
    <t>&gt;29</t>
  </si>
  <si>
    <t>&lt;4500</t>
  </si>
  <si>
    <t>&gt;42000</t>
  </si>
  <si>
    <t>&gt;25</t>
  </si>
  <si>
    <t>AVERAGE</t>
  </si>
  <si>
    <t>AVERAGEA</t>
  </si>
  <si>
    <t>AVERAGEIF</t>
  </si>
  <si>
    <t>AVERAGEIFS</t>
  </si>
  <si>
    <t>CEILING</t>
  </si>
  <si>
    <t>CEILING.MATH</t>
  </si>
  <si>
    <t>CEILING.PRECISE</t>
  </si>
  <si>
    <t>CHAR</t>
  </si>
  <si>
    <t>J</t>
  </si>
  <si>
    <t>COLUMN</t>
  </si>
  <si>
    <t>COLUMNS</t>
  </si>
  <si>
    <t>CONCAT</t>
  </si>
  <si>
    <t>CONCATENATE</t>
  </si>
  <si>
    <t>BUT, MICHEL</t>
  </si>
  <si>
    <t>COS</t>
  </si>
  <si>
    <t>COSH</t>
  </si>
  <si>
    <t>COT</t>
  </si>
  <si>
    <t>COTH</t>
  </si>
  <si>
    <t>COUNT</t>
  </si>
  <si>
    <t>COUNTA</t>
  </si>
  <si>
    <t>COUNTBLANK</t>
  </si>
  <si>
    <t>COUNTIF</t>
  </si>
  <si>
    <t>COUNTIFS</t>
  </si>
  <si>
    <t>COVAR</t>
  </si>
  <si>
    <t>COVARIANCE.P</t>
  </si>
  <si>
    <t>COVARIANCE.S</t>
  </si>
  <si>
    <t>CSC</t>
  </si>
  <si>
    <t>CSCH</t>
  </si>
  <si>
    <t>DATE</t>
  </si>
  <si>
    <t>DATEVALUE</t>
  </si>
  <si>
    <t>DAVERAGE</t>
  </si>
  <si>
    <t>DAY</t>
  </si>
  <si>
    <t>DAYS</t>
  </si>
  <si>
    <t>DCOUNT</t>
  </si>
  <si>
    <t>DCOUNTA</t>
  </si>
  <si>
    <t>DECIMAL</t>
  </si>
  <si>
    <t>DEGREES</t>
  </si>
  <si>
    <t>DGET</t>
  </si>
  <si>
    <t>DMAX</t>
  </si>
  <si>
    <t>DMIN</t>
  </si>
  <si>
    <t>DPRODUCT</t>
  </si>
  <si>
    <t>DSTDEV</t>
  </si>
  <si>
    <t>DSTDEVP</t>
  </si>
  <si>
    <t>DSUM</t>
  </si>
  <si>
    <t>DVAR</t>
  </si>
  <si>
    <t>DVARP</t>
  </si>
  <si>
    <t>EDATE</t>
  </si>
  <si>
    <t>EOMONTH</t>
  </si>
  <si>
    <t>EXACT</t>
  </si>
  <si>
    <t>EXP</t>
  </si>
  <si>
    <t>FIND</t>
  </si>
  <si>
    <t>FLOOR</t>
  </si>
  <si>
    <t>FLOOR.MATH</t>
  </si>
  <si>
    <t>FLOOR.PRECISE</t>
  </si>
  <si>
    <t>HLOOKUP</t>
  </si>
  <si>
    <t>HOUR</t>
  </si>
  <si>
    <t>IF</t>
  </si>
  <si>
    <t>TABOURET</t>
  </si>
  <si>
    <t>IFERROR</t>
  </si>
  <si>
    <t>no diving by zero.</t>
  </si>
  <si>
    <t>IFS</t>
  </si>
  <si>
    <t>first player is older</t>
  </si>
  <si>
    <t>ISERROR</t>
  </si>
  <si>
    <t>ISEVEN</t>
  </si>
  <si>
    <t>ISLOGICAL</t>
  </si>
  <si>
    <t>ISNONTEXT</t>
  </si>
  <si>
    <t>ISNUMBER</t>
  </si>
  <si>
    <t>ISO.CEILING</t>
  </si>
  <si>
    <t>ISODD</t>
  </si>
  <si>
    <t>ISOWEEKNUM</t>
  </si>
  <si>
    <t>ISTEXT</t>
  </si>
  <si>
    <t>LARGE</t>
  </si>
  <si>
    <t>LEFT</t>
  </si>
  <si>
    <t>Mich</t>
  </si>
  <si>
    <t>LEN</t>
  </si>
  <si>
    <t>LN</t>
  </si>
  <si>
    <t>LOOKUP</t>
  </si>
  <si>
    <t>LOWER</t>
  </si>
  <si>
    <t>オaドb</t>
  </si>
  <si>
    <t>MATCH</t>
  </si>
  <si>
    <t>MAX</t>
  </si>
  <si>
    <t>MAXA</t>
  </si>
  <si>
    <t>MAXIFS</t>
  </si>
  <si>
    <t>MEDIAN</t>
  </si>
  <si>
    <t>MIN</t>
  </si>
  <si>
    <t>MINA</t>
  </si>
  <si>
    <t>MINIFS</t>
  </si>
  <si>
    <t>MINUTE</t>
  </si>
  <si>
    <t>MOD</t>
  </si>
  <si>
    <t>MONTH</t>
  </si>
  <si>
    <t>NETWORKDAYS</t>
  </si>
  <si>
    <t>NETWORKDAYS.INTL</t>
  </si>
  <si>
    <t>NOT</t>
  </si>
  <si>
    <t>NOW</t>
  </si>
  <si>
    <t>ODD</t>
  </si>
  <si>
    <t>OR</t>
  </si>
  <si>
    <t>PERCENTILE</t>
  </si>
  <si>
    <t>PERCENTILE.EXC</t>
  </si>
  <si>
    <t>PERCENTILE.INC</t>
  </si>
  <si>
    <t>PI</t>
  </si>
  <si>
    <t>POWER</t>
  </si>
  <si>
    <t>PRODUCT</t>
  </si>
  <si>
    <t>QUARTILE</t>
  </si>
  <si>
    <t>QUARTILE.EXC</t>
  </si>
  <si>
    <t>QUARTILE.INC</t>
  </si>
  <si>
    <t>RANDBETWEEN</t>
  </si>
  <si>
    <t>REPLACE</t>
  </si>
  <si>
    <t>AYZ</t>
  </si>
  <si>
    <t>RIGHT</t>
  </si>
  <si>
    <t>ou</t>
  </si>
  <si>
    <t>ROUND</t>
  </si>
  <si>
    <t>ROUNDDOWN</t>
  </si>
  <si>
    <t>ROUNDUP</t>
  </si>
  <si>
    <t>ROW</t>
  </si>
  <si>
    <t>ROWS</t>
  </si>
  <si>
    <t>SEARCH</t>
  </si>
  <si>
    <t>SEC</t>
  </si>
  <si>
    <t>SECH</t>
  </si>
  <si>
    <t>SECOND</t>
  </si>
  <si>
    <t>SIN</t>
  </si>
  <si>
    <t>SINH</t>
  </si>
  <si>
    <t>SMALL</t>
  </si>
  <si>
    <t>SQRT</t>
  </si>
  <si>
    <t>STDEV</t>
  </si>
  <si>
    <t>STDEV.P</t>
  </si>
  <si>
    <t>STDEV.S</t>
  </si>
  <si>
    <t>STDEVA</t>
  </si>
  <si>
    <t>STDEVP</t>
  </si>
  <si>
    <t>STDEVPA</t>
  </si>
  <si>
    <t>SUBSTITUTE</t>
  </si>
  <si>
    <t>Odoo is best</t>
  </si>
  <si>
    <t>SUM</t>
  </si>
  <si>
    <t>SUMIF</t>
  </si>
  <si>
    <t>SUMIFS</t>
  </si>
  <si>
    <t>TAN</t>
  </si>
  <si>
    <t>TANH</t>
  </si>
  <si>
    <t>TEXTJOIN</t>
  </si>
  <si>
    <t>1-A-%</t>
  </si>
  <si>
    <t>TIME</t>
  </si>
  <si>
    <t>TIMEVALUE</t>
  </si>
  <si>
    <t>TODAY</t>
  </si>
  <si>
    <t>TRIM</t>
  </si>
  <si>
    <t>Jean Ticonstitutionnalise</t>
  </si>
  <si>
    <t>TRUNC</t>
  </si>
  <si>
    <t>UPPER</t>
  </si>
  <si>
    <t>GRRRR !</t>
  </si>
  <si>
    <t>VAR</t>
  </si>
  <si>
    <t>VAR.P</t>
  </si>
  <si>
    <t>VAR.S</t>
  </si>
  <si>
    <t>VARA</t>
  </si>
  <si>
    <t>VARP</t>
  </si>
  <si>
    <t>VARPA</t>
  </si>
  <si>
    <t>VLOOKUP</t>
  </si>
  <si>
    <t>WEEKDAY</t>
  </si>
  <si>
    <t>WEEKNUM</t>
  </si>
  <si>
    <t>WORKDAY</t>
  </si>
  <si>
    <t>WORKDAY.INTL</t>
  </si>
  <si>
    <t>XOR</t>
  </si>
  <si>
    <t>YEAR</t>
  </si>
  <si>
    <t>DELTA</t>
  </si>
  <si>
    <t>ADDRESS</t>
  </si>
  <si>
    <t>'sheet!'!R[1]C[1]</t>
  </si>
  <si>
    <t>DATEDIF</t>
  </si>
  <si>
    <t>string</t>
  </si>
  <si>
    <t>hidden col</t>
  </si>
  <si>
    <t>merge 2x2</t>
  </si>
  <si>
    <t>colSize 100</t>
  </si>
  <si>
    <t>External Reference:</t>
  </si>
  <si>
    <t>hyperlink</t>
  </si>
  <si>
    <t>sheetLink</t>
  </si>
  <si>
    <t>hidden row</t>
  </si>
  <si>
    <t>rowSize 100</t>
  </si>
  <si>
    <t>Fill Patterns:</t>
  </si>
  <si>
    <t>Borders:</t>
  </si>
  <si>
    <t>Horizontal alignments:</t>
  </si>
  <si>
    <t>Font Styles:</t>
  </si>
  <si>
    <t>Fonts:</t>
  </si>
  <si>
    <t>Formats:</t>
  </si>
  <si>
    <t>darkGray</t>
  </si>
  <si>
    <t>thin</t>
  </si>
  <si>
    <t>general</t>
  </si>
  <si>
    <t>a b</t>
  </si>
  <si>
    <t>Red</t>
  </si>
  <si>
    <t>Arial</t>
  </si>
  <si>
    <t>0.00</t>
  </si>
  <si>
    <t>mediumGray</t>
  </si>
  <si>
    <t>Italic</t>
  </si>
  <si>
    <t>Calibri</t>
  </si>
  <si>
    <t>0.00%</t>
  </si>
  <si>
    <t>lightGray</t>
  </si>
  <si>
    <t>hair</t>
  </si>
  <si>
    <t>center</t>
  </si>
  <si>
    <t>Bold</t>
  </si>
  <si>
    <t>Comic sans</t>
  </si>
  <si>
    <t>m/d/yyyy</t>
  </si>
  <si>
    <t>gray0625</t>
  </si>
  <si>
    <t>right</t>
  </si>
  <si>
    <t>Striked</t>
  </si>
  <si>
    <t>#,##0.00[$€]</t>
  </si>
  <si>
    <t>darkHorizontal</t>
  </si>
  <si>
    <t>dotted</t>
  </si>
  <si>
    <t>fill</t>
  </si>
  <si>
    <t>Underlined</t>
  </si>
  <si>
    <t>[$$]#,##0.000</t>
  </si>
  <si>
    <t>darkVertical</t>
  </si>
  <si>
    <t>justify</t>
  </si>
  <si>
    <t>size12</t>
  </si>
  <si>
    <t>[$₪]#,##0</t>
  </si>
  <si>
    <t>darkDown</t>
  </si>
  <si>
    <t>dashDotDot</t>
  </si>
  <si>
    <t>centerContinuous</t>
  </si>
  <si>
    <t>size16</t>
  </si>
  <si>
    <t>#,##0[$ EUR €]</t>
  </si>
  <si>
    <t>darkUp</t>
  </si>
  <si>
    <t>distributed</t>
  </si>
  <si>
    <t>not supported: multiple escaped sequences</t>
  </si>
  <si>
    <t>darkGrid</t>
  </si>
  <si>
    <t>dashDot</t>
  </si>
  <si>
    <t>darkTrellis</t>
  </si>
  <si>
    <t>Vertical alignments:</t>
  </si>
  <si>
    <t>lightHorizontal</t>
  </si>
  <si>
    <t>dashed</t>
  </si>
  <si>
    <t>bottom</t>
  </si>
  <si>
    <t>lightVertical</t>
  </si>
  <si>
    <t>lightDown</t>
  </si>
  <si>
    <t>mediumDashDotDot</t>
  </si>
  <si>
    <t>lightUp</t>
  </si>
  <si>
    <t>lightGrid</t>
  </si>
  <si>
    <t>slantDashDot</t>
  </si>
  <si>
    <t>lightTrellis</t>
  </si>
  <si>
    <t>grad 2 colors</t>
  </si>
  <si>
    <t>mediumDashDot</t>
  </si>
  <si>
    <t>Wrap text:</t>
  </si>
  <si>
    <t>grad horizontal</t>
  </si>
  <si>
    <t>overflow</t>
  </si>
  <si>
    <t>this is a very long text to wrap</t>
  </si>
  <si>
    <t>grad vertical</t>
  </si>
  <si>
    <t>mediumDashed</t>
  </si>
  <si>
    <t>wrap</t>
  </si>
  <si>
    <t>grad diag up</t>
  </si>
  <si>
    <t>grad diag down</t>
  </si>
  <si>
    <t>medium</t>
  </si>
  <si>
    <t>grad from corner</t>
  </si>
  <si>
    <t>grad from center</t>
  </si>
  <si>
    <t>thick</t>
  </si>
  <si>
    <t>double</t>
  </si>
  <si>
    <t>thick #ff0000</t>
  </si>
  <si>
    <t>diagonal</t>
  </si>
  <si>
    <t>Conditional Formats:</t>
  </si>
  <si>
    <t>Highlighted</t>
  </si>
  <si>
    <t>Not Highlighted</t>
  </si>
  <si>
    <t>Color Scales:</t>
  </si>
  <si>
    <t>aboveAverage</t>
  </si>
  <si>
    <t>2 colors max</t>
  </si>
  <si>
    <t>beginsWith</t>
  </si>
  <si>
    <t>rule text</t>
  </si>
  <si>
    <t>text</t>
  </si>
  <si>
    <t>3 Colors max</t>
  </si>
  <si>
    <t>containsBlanks</t>
  </si>
  <si>
    <t>not blank</t>
  </si>
  <si>
    <t>2 Colors num</t>
  </si>
  <si>
    <t>containsErrors</t>
  </si>
  <si>
    <t>2 colors percent</t>
  </si>
  <si>
    <t>containsText</t>
  </si>
  <si>
    <t>text rule text</t>
  </si>
  <si>
    <t>2 colors percentile</t>
  </si>
  <si>
    <t>duplicateValues</t>
  </si>
  <si>
    <t>aa</t>
  </si>
  <si>
    <t>bb</t>
  </si>
  <si>
    <t>2 colors formula</t>
  </si>
  <si>
    <t>endsWith</t>
  </si>
  <si>
    <t>text rule</t>
  </si>
  <si>
    <t>notContainsBlanks</t>
  </si>
  <si>
    <t>notContainsErrors</t>
  </si>
  <si>
    <t>Icon Sets:</t>
  </si>
  <si>
    <t>notContainsText</t>
  </si>
  <si>
    <t>3Arrows percent</t>
  </si>
  <si>
    <t>timePeriod</t>
  </si>
  <si>
    <t>3ArrowsGray num</t>
  </si>
  <si>
    <t>top10</t>
  </si>
  <si>
    <t>3Flags percentile</t>
  </si>
  <si>
    <t>uniqueValues</t>
  </si>
  <si>
    <t>3TrafficLights1 formula</t>
  </si>
  <si>
    <t>expression</t>
  </si>
  <si>
    <t>3TrafficLights2</t>
  </si>
  <si>
    <t>cellIs equal</t>
  </si>
  <si>
    <t>3Signs</t>
  </si>
  <si>
    <t>cellIs notEqual</t>
  </si>
  <si>
    <t>3Symbols</t>
  </si>
  <si>
    <t>cellIs greaterThan</t>
  </si>
  <si>
    <t>3Symbols2</t>
  </si>
  <si>
    <t>cellIs greaterThanOrEqual</t>
  </si>
  <si>
    <t>3Stars</t>
  </si>
  <si>
    <t>cellIs lessThan</t>
  </si>
  <si>
    <t>3Triangles</t>
  </si>
  <si>
    <t>cellIs lessThanOrEqual</t>
  </si>
  <si>
    <t>4Arrows</t>
  </si>
  <si>
    <t>cellIs between</t>
  </si>
  <si>
    <t>4ArrowsGray</t>
  </si>
  <si>
    <t>cellIs notBetween</t>
  </si>
  <si>
    <t>4RedToBlack</t>
  </si>
  <si>
    <t>4Rating</t>
  </si>
  <si>
    <t>dataBar</t>
  </si>
  <si>
    <t>4TrafficLights</t>
  </si>
  <si>
    <t>5Arrows</t>
  </si>
  <si>
    <t>Style of CF</t>
  </si>
  <si>
    <t>5ArrowsGray</t>
  </si>
  <si>
    <t>5Rating</t>
  </si>
  <si>
    <t>CF with formulas</t>
  </si>
  <si>
    <t>5Quarters</t>
  </si>
  <si>
    <t>5Boxes</t>
  </si>
  <si>
    <t>NoIcons</t>
  </si>
  <si>
    <t>Reverse</t>
  </si>
  <si>
    <t>ShowOnlyIcon</t>
  </si>
  <si>
    <t>GreaterNotEqual</t>
  </si>
  <si>
    <t>MixIcons</t>
  </si>
  <si>
    <t>2Icons</t>
  </si>
  <si>
    <t>1Icon</t>
  </si>
  <si>
    <t>Table C3:J6</t>
  </si>
  <si>
    <t>Rank</t>
  </si>
  <si>
    <t>Rank+Age =E4+D4</t>
  </si>
  <si>
    <t>Data =SUM(E4:E5)</t>
  </si>
  <si>
    <t>All =SUM(E3:E6)</t>
  </si>
  <si>
    <t>Totals =E6</t>
  </si>
  <si>
    <t>Headers =E3</t>
  </si>
  <si>
    <t>Total</t>
  </si>
  <si>
    <t>BasicTable</t>
  </si>
  <si>
    <t>Total table</t>
  </si>
  <si>
    <t>Column of table of other sheet</t>
  </si>
  <si>
    <t>Multiple columns total</t>
  </si>
  <si>
    <t>Multiple Columns</t>
  </si>
  <si>
    <t>Multiple keywords</t>
  </si>
  <si>
    <t>Header</t>
  </si>
  <si>
    <t>1</t>
  </si>
  <si>
    <t>2</t>
  </si>
  <si>
    <t>HighlightFirstCol</t>
  </si>
  <si>
    <t>HighlightLastCol</t>
  </si>
  <si>
    <t>BandedRows</t>
  </si>
  <si>
    <t>BandedCols</t>
  </si>
  <si>
    <t>TotalRow</t>
  </si>
  <si>
    <t>TableWithFilter</t>
  </si>
  <si>
    <t>Col1</t>
  </si>
  <si>
    <t>Col2</t>
  </si>
  <si>
    <t>Hidden</t>
  </si>
  <si>
    <t>NotHidden</t>
  </si>
  <si>
    <t>CustomStyle</t>
  </si>
  <si>
    <t>pivot C3:L21</t>
  </si>
  <si>
    <t>Sum of Age</t>
  </si>
  <si>
    <t>Column Labels</t>
  </si>
  <si>
    <t>Row Labels</t>
  </si>
  <si>
    <t>Grand Total</t>
  </si>
  <si>
    <t>{"title":"line chart", "type":"line", "zone":"C5:G18", "color":"#CECECE", "dataset":"Sheet1!B27:B35 Sheet1!C27:C35", "labels":"Sheet1!A27:A35"}</t>
  </si>
  <si>
    <t>{"title":"bar chart", "type":"bar", "zone":"H5:L18", "dataset":"Sheet1!B27:B35 Sheet1!C27:C35", "labels":"Sheet1!A27:A35"}</t>
  </si>
  <si>
    <t>{"title":"doughnut chart","type":"pie",  "zone":"C19:L37", "dataset":"Sheet1!C27:C35 Sheet1!B27:B35", "labels":"Sheet1!A27:A35"}</t>
  </si>
  <si>
    <t>{"title": "pie chart","type":"pie", "zone":"C38:L56", "dataset":"Sheet1!B27:B35", "labels":"Sheet1!A27:A35"}</t>
  </si>
  <si>
    <t>This text have
 a newLine</t>
  </si>
  <si>
    <t xml:space="preserve">      with whitespace before</t>
  </si>
  <si>
    <t>Decimal</t>
  </si>
  <si>
    <t>Whole</t>
  </si>
  <si>
    <t>Value In Range</t>
  </si>
  <si>
    <t>Value In List</t>
  </si>
  <si>
    <t>Date Not Equal</t>
  </si>
  <si>
    <t>Time</t>
  </si>
  <si>
    <t>Text Length</t>
  </si>
  <si>
    <t>Date is Greater Than</t>
  </si>
  <si>
    <t>Custom Formula</t>
  </si>
  <si>
    <t>Decimal with formula</t>
  </si>
  <si>
    <t>option1</t>
  </si>
  <si>
    <t>test</t>
  </si>
  <si>
    <t>option2</t>
  </si>
  <si>
    <t>test1</t>
  </si>
  <si>
    <t>option3</t>
  </si>
  <si>
    <t>test123</t>
  </si>
  <si>
    <t>hola</t>
  </si>
  <si>
    <t>A1234556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</si>
</sst>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m/d/yyyy\ hh:mm:ss"/>
    <numFmt numFmtId="165" formatCode="#,##0.00\ &quot;€&quot;"/>
    <numFmt numFmtId="166" formatCode="[$$-409]#,##0.000"/>
    <numFmt numFmtId="167" formatCode="[$₪-40D]\ #,##0"/>
    <numFmt numFmtId="168" formatCode="#,##0&quot; EUR €&quot;"/>
    <numFmt numFmtId="169" formatCode="&quot;€&quot;#,##0.00\ &quot;€&quot;"/>
  </numFmts>
  <fonts count="26" x14ac:knownFonts="1">
    <font>
      <sz val="10"/>
      <color rgb="FF000000"/>
      <name val="Calibri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trike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u/>
      <sz val="22"/>
      <color rgb="FF674EA7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6"/>
      <color rgb="FF000000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sz val="10"/>
      <name val="Comic Sans MS"/>
      <family val="4"/>
    </font>
    <font>
      <sz val="8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Arial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B6D7A8"/>
        <bgColor indexed="64"/>
      </patternFill>
    </fill>
    <fill>
      <patternFill patternType="darkGray">
        <bgColor theme="7"/>
      </patternFill>
    </fill>
    <fill>
      <patternFill patternType="mediumGray">
        <bgColor theme="7"/>
      </patternFill>
    </fill>
    <fill>
      <patternFill patternType="lightGray">
        <bgColor theme="7"/>
      </patternFill>
    </fill>
    <fill>
      <patternFill patternType="gray0625">
        <bgColor theme="7"/>
      </patternFill>
    </fill>
    <fill>
      <patternFill patternType="darkHorizontal">
        <bgColor theme="7"/>
      </patternFill>
    </fill>
    <fill>
      <patternFill patternType="darkVertical">
        <bgColor theme="7"/>
      </patternFill>
    </fill>
    <fill>
      <patternFill patternType="darkDown">
        <bgColor theme="7"/>
      </patternFill>
    </fill>
    <fill>
      <patternFill patternType="darkUp">
        <bgColor theme="7"/>
      </patternFill>
    </fill>
    <fill>
      <patternFill patternType="darkGrid">
        <bgColor theme="7"/>
      </patternFill>
    </fill>
    <fill>
      <patternFill patternType="darkTrellis">
        <bgColor theme="7"/>
      </patternFill>
    </fill>
    <fill>
      <patternFill patternType="lightHorizontal">
        <bgColor theme="7"/>
      </patternFill>
    </fill>
    <fill>
      <patternFill patternType="lightVertical">
        <bgColor theme="7"/>
      </patternFill>
    </fill>
    <fill>
      <patternFill patternType="lightDown">
        <bgColor theme="7"/>
      </patternFill>
    </fill>
    <fill>
      <patternFill patternType="lightUp">
        <bgColor theme="7"/>
      </patternFill>
    </fill>
    <fill>
      <patternFill patternType="lightGrid">
        <bgColor theme="7"/>
      </patternFill>
    </fill>
    <fill>
      <patternFill patternType="lightTrellis">
        <bgColor theme="7"/>
      </patternFill>
    </fill>
    <fill>
      <gradientFill degree="90">
        <stop position="0">
          <color theme="4"/>
        </stop>
        <stop position="1">
          <color theme="7"/>
        </stop>
      </gradientFill>
    </fill>
    <fill>
      <gradientFill degree="90">
        <stop position="0">
          <color theme="0"/>
        </stop>
        <stop position="1">
          <color theme="7"/>
        </stop>
      </gradientFill>
    </fill>
    <fill>
      <gradientFill>
        <stop position="0">
          <color theme="0"/>
        </stop>
        <stop position="1">
          <color theme="7"/>
        </stop>
      </gradientFill>
    </fill>
    <fill>
      <gradientFill degree="45">
        <stop position="0">
          <color theme="0"/>
        </stop>
        <stop position="1">
          <color theme="7"/>
        </stop>
      </gradientFill>
    </fill>
    <fill>
      <gradientFill degree="135">
        <stop position="0">
          <color theme="0"/>
        </stop>
        <stop position="1">
          <color theme="7"/>
        </stop>
      </gradientFill>
    </fill>
    <fill>
      <gradientFill type="path">
        <stop position="0">
          <color theme="0"/>
        </stop>
        <stop position="1">
          <color theme="7"/>
        </stop>
      </gradientFill>
    </fill>
    <fill>
      <gradientFill type="path" left="0.5" right="0.5" top="0.5" bottom="0.5">
        <stop position="0">
          <color theme="0"/>
        </stop>
        <stop position="1">
          <color theme="7"/>
        </stop>
      </gradient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mediumDashDot">
        <color auto="1"/>
      </left>
      <right style="mediumDashDot">
        <color auto="1"/>
      </right>
      <top style="mediumDashDot">
        <color auto="1"/>
      </top>
      <bottom style="mediumDashDot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 diagonalUp="1" diagonalDown="1">
      <left/>
      <right/>
      <top/>
      <bottom/>
      <diagonal style="thin">
        <color auto="1"/>
      </diagonal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0" fillId="0" borderId="0"/>
    <xf numFmtId="0" fontId="22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7" xfId="0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0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9" fontId="2" fillId="0" borderId="0" xfId="0" applyNumberFormat="1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fill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distributed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justify"/>
    </xf>
    <xf numFmtId="0" fontId="10" fillId="0" borderId="0" xfId="0" applyFont="1" applyAlignment="1">
      <alignment vertical="distributed"/>
    </xf>
    <xf numFmtId="0" fontId="8" fillId="0" borderId="0" xfId="0" applyFont="1"/>
    <xf numFmtId="0" fontId="8" fillId="0" borderId="21" xfId="0" applyFont="1" applyBorder="1"/>
    <xf numFmtId="0" fontId="0" fillId="0" borderId="21" xfId="0" applyBorder="1"/>
    <xf numFmtId="0" fontId="8" fillId="0" borderId="23" xfId="0" applyFont="1" applyBorder="1"/>
    <xf numFmtId="0" fontId="10" fillId="0" borderId="22" xfId="0" applyFont="1" applyBorder="1"/>
    <xf numFmtId="14" fontId="0" fillId="0" borderId="0" xfId="0" applyNumberFormat="1"/>
    <xf numFmtId="0" fontId="10" fillId="5" borderId="0" xfId="0" applyFont="1" applyFill="1"/>
    <xf numFmtId="0" fontId="10" fillId="6" borderId="0" xfId="0" applyFont="1" applyFill="1"/>
    <xf numFmtId="0" fontId="10" fillId="7" borderId="0" xfId="0" applyFont="1" applyFill="1"/>
    <xf numFmtId="0" fontId="10" fillId="8" borderId="0" xfId="0" applyFont="1" applyFill="1"/>
    <xf numFmtId="0" fontId="10" fillId="9" borderId="0" xfId="0" applyFont="1" applyFill="1"/>
    <xf numFmtId="0" fontId="10" fillId="10" borderId="0" xfId="0" applyFont="1" applyFill="1"/>
    <xf numFmtId="0" fontId="10" fillId="11" borderId="0" xfId="0" applyFont="1" applyFill="1"/>
    <xf numFmtId="0" fontId="10" fillId="12" borderId="0" xfId="0" applyFont="1" applyFill="1"/>
    <xf numFmtId="0" fontId="10" fillId="13" borderId="0" xfId="0" applyFont="1" applyFill="1"/>
    <xf numFmtId="0" fontId="10" fillId="14" borderId="0" xfId="0" applyFont="1" applyFill="1"/>
    <xf numFmtId="0" fontId="10" fillId="15" borderId="0" xfId="0" applyFont="1" applyFill="1"/>
    <xf numFmtId="0" fontId="10" fillId="16" borderId="0" xfId="0" applyFont="1" applyFill="1"/>
    <xf numFmtId="0" fontId="10" fillId="17" borderId="0" xfId="0" applyFont="1" applyFill="1"/>
    <xf numFmtId="0" fontId="10" fillId="18" borderId="0" xfId="0" applyFont="1" applyFill="1"/>
    <xf numFmtId="0" fontId="10" fillId="19" borderId="0" xfId="0" applyFont="1" applyFill="1"/>
    <xf numFmtId="0" fontId="10" fillId="20" borderId="0" xfId="0" applyFont="1" applyFill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0" borderId="19" xfId="0" applyFont="1" applyBorder="1"/>
    <xf numFmtId="0" fontId="10" fillId="0" borderId="20" xfId="0" applyFont="1" applyBorder="1"/>
    <xf numFmtId="0" fontId="12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0" fillId="21" borderId="0" xfId="0" applyFont="1" applyFill="1" applyProtection="1">
      <protection locked="0"/>
    </xf>
    <xf numFmtId="0" fontId="10" fillId="22" borderId="0" xfId="0" applyFont="1" applyFill="1"/>
    <xf numFmtId="0" fontId="10" fillId="23" borderId="0" xfId="0" applyFont="1" applyFill="1"/>
    <xf numFmtId="0" fontId="10" fillId="24" borderId="0" xfId="0" applyFont="1" applyFill="1"/>
    <xf numFmtId="0" fontId="10" fillId="25" borderId="0" xfId="0" applyFont="1" applyFill="1"/>
    <xf numFmtId="0" fontId="10" fillId="26" borderId="0" xfId="0" applyFont="1" applyFill="1"/>
    <xf numFmtId="0" fontId="10" fillId="27" borderId="0" xfId="0" applyFont="1" applyFill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2"/>
    <xf numFmtId="0" fontId="10" fillId="0" borderId="8" xfId="0" applyFont="1" applyBorder="1"/>
    <xf numFmtId="0" fontId="10" fillId="0" borderId="24" xfId="0" applyFont="1" applyBorder="1"/>
    <xf numFmtId="0" fontId="10" fillId="0" borderId="25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3" fillId="0" borderId="0" xfId="0" applyFont="1" applyAlignment="1">
      <alignment vertical="center"/>
    </xf>
    <xf numFmtId="0" fontId="24" fillId="0" borderId="21" xfId="0" applyFont="1" applyBorder="1"/>
    <xf numFmtId="2" fontId="0" fillId="0" borderId="26" xfId="0" applyNumberFormat="1" applyBorder="1"/>
    <xf numFmtId="10" fontId="0" fillId="0" borderId="27" xfId="0" applyNumberFormat="1" applyBorder="1"/>
    <xf numFmtId="14" fontId="0" fillId="0" borderId="27" xfId="0" applyNumberFormat="1" applyBorder="1"/>
    <xf numFmtId="165" fontId="0" fillId="0" borderId="27" xfId="0" applyNumberFormat="1" applyBorder="1"/>
    <xf numFmtId="166" fontId="0" fillId="0" borderId="27" xfId="0" applyNumberFormat="1" applyBorder="1"/>
    <xf numFmtId="0" fontId="10" fillId="0" borderId="0" xfId="0" applyFont="1" applyAlignment="1">
      <alignment wrapText="1"/>
    </xf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10" fillId="0" borderId="0" xfId="0" applyFont="1" applyAlignment="1">
      <alignment horizontal="left" wrapText="1"/>
    </xf>
    <xf numFmtId="0" fontId="25" fillId="28" borderId="0" xfId="0" applyFont="1" applyFill="1" applyAlignment="1">
      <alignment horizontal="center"/>
    </xf>
    <xf numFmtId="0" fontId="25" fillId="28" borderId="28" xfId="0" applyFont="1" applyFill="1" applyBorder="1" applyAlignment="1">
      <alignment horizontal="center"/>
    </xf>
    <xf numFmtId="0" fontId="25" fillId="28" borderId="29" xfId="0" applyFont="1" applyFill="1" applyBorder="1" applyAlignment="1">
      <alignment horizontal="center"/>
    </xf>
    <xf numFmtId="0" fontId="25" fillId="28" borderId="30" xfId="0" applyFont="1" applyFill="1" applyBorder="1" applyAlignment="1">
      <alignment horizontal="center"/>
    </xf>
    <xf numFmtId="20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horizontal="center"/>
    </xf>
  </cellXfs>
  <cellStyles count="3">
    <cellStyle name="Hyperlink" xfId="2" builtinId="8"/>
    <cellStyle name="Normal" xfId="0" builtinId="0"/>
    <cellStyle name="Normal 2" xfId="1" xr:uid="{1493241F-B85D-4F84-BBA0-86191B8FD032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ill>
        <patternFill>
          <bgColor theme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sz val="10"/>
        <color rgb="FF000000"/>
        <name val="Arial"/>
        <family val="2"/>
        <scheme val="none"/>
      </font>
      <fill>
        <patternFill>
          <bgColor theme="9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b/>
        <i/>
        <strike/>
        <u/>
        <color theme="7"/>
      </font>
      <numFmt numFmtId="170" formatCode="dd/mm/yyyy"/>
      <fill>
        <patternFill patternType="lightTrellis">
          <fgColor theme="4"/>
          <bgColor theme="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E06666"/>
        </patternFill>
      </fill>
    </dxf>
    <dxf>
      <fill>
        <patternFill>
          <bgColor rgb="FFB6D7A8"/>
        </patternFill>
      </fill>
    </dxf>
    <dxf>
      <fill>
        <patternFill>
          <bgColor rgb="FFFF9900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</dxfs>
  <tableStyles count="1" defaultTableStyle="TableStyleMedium2" defaultPivotStyle="PivotStyleLight16">
    <tableStyle name="Table Style 1" pivot="0" count="2" xr9:uid="{33B8EB55-D8D8-4B00-B5CF-C84A8AC9E775}">
      <tableStyleElement type="wholeTable" dxfId="46"/>
      <tableStyleElement type="firstRowStripe" dxfId="45"/>
    </tableStyle>
  </tableStyles>
  <colors>
    <mruColors>
      <color rgb="FF00FF00"/>
      <color rgb="FF000000"/>
      <color rgb="FFCECECE"/>
      <color rgb="FFD0CECE"/>
      <color rgb="FF0000FF"/>
      <color rgb="FFFF0000"/>
      <color rgb="FFF69E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 sz="2200"/>
              <a:t>line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Sheet1!$B$26</c:f>
              <c:strCache>
                <c:ptCount val="1"/>
                <c:pt idx="0">
                  <c:v>first dataset</c:v>
                </c:pt>
              </c:strCache>
            </c:strRef>
          </c:tx>
          <c:spPr>
            <a:ln w="19050" cap="rnd" cmpd="sng" algn="ctr">
              <a:solidFill>
                <a:srgbClr val="7030A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6350" cap="flat" cmpd="sng" algn="ctr">
                <a:solidFill>
                  <a:srgbClr val="7030A0"/>
                </a:solidFill>
                <a:prstDash val="solid"/>
                <a:round/>
              </a:ln>
              <a:effectLst/>
            </c:spPr>
          </c:marker>
          <c:trendline>
            <c:spPr>
              <a:ln w="6350" cap="rnd" cmpd="sng" algn="ctr">
                <a:solidFill>
                  <a:srgbClr val="4472C4"/>
                </a:solidFill>
                <a:prstDash val="solid"/>
                <a:round/>
              </a:ln>
              <a:effectLst/>
            </c:spPr>
            <c:trendlineType val="poly"/>
            <c:order val="2"/>
            <c:dispRSqr val="0"/>
            <c:dispEq val="0"/>
          </c:trendline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02-4B44-90EB-6A0E824BFD44}"/>
            </c:ext>
          </c:extLst>
        </c:ser>
        <c:ser>
          <c:idx val="1"/>
          <c:order val="1"/>
          <c:tx>
            <c:strRef>
              <c:f>Sheet1!$C$26</c:f>
              <c:strCache>
                <c:ptCount val="1"/>
                <c:pt idx="0">
                  <c:v>second dataset</c:v>
                </c:pt>
              </c:strCache>
            </c:strRef>
          </c:tx>
          <c:spPr>
            <a:ln w="19050" cap="rnd" cmpd="sng" algn="ctr">
              <a:solidFill>
                <a:srgbClr val="C65911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C65911"/>
              </a:solidFill>
              <a:ln w="6350" cap="flat" cmpd="sng" algn="ctr">
                <a:solidFill>
                  <a:srgbClr val="C65911"/>
                </a:solidFill>
                <a:prstDash val="solid"/>
                <a:round/>
              </a:ln>
              <a:effectLst/>
            </c:spPr>
          </c:marker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02-4B44-90EB-6A0E824BF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81237"/>
        <c:axId val="88853993"/>
      </c:lineChart>
      <c:catAx>
        <c:axId val="17781237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853993"/>
        <c:crosses val="autoZero"/>
        <c:auto val="1"/>
        <c:lblAlgn val="ctr"/>
        <c:lblOffset val="100"/>
        <c:noMultiLvlLbl val="1"/>
      </c:catAx>
      <c:valAx>
        <c:axId val="88853993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781237"/>
        <c:crosses val="autoZero"/>
        <c:crossBetween val="between"/>
      </c:valAx>
      <c:spPr>
        <a:solidFill>
          <a:schemeClr val="tx1">
            <a:lumMod val="50000"/>
            <a:lumOff val="50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CECECE"/>
    </a:solidFill>
    <a:ln w="6350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bar chart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solidFill>
                <a:srgbClr val="7030A0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>
                <a:solidFill>
                  <a:srgbClr val="ED7D31"/>
                </a:solidFill>
                <a:prstDash val="solid"/>
              </a:ln>
            </c:spPr>
            <c:trendlineType val="exp"/>
            <c:dispRSqr val="0"/>
            <c:dispEq val="0"/>
          </c:trendline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7030A0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469-484D-BCDA-3D8DFC95221B}"/>
            </c:ext>
          </c:extLst>
        </c:ser>
        <c:ser>
          <c:idx val="1"/>
          <c:order val="1"/>
          <c:spPr>
            <a:solidFill>
              <a:srgbClr val="C65911"/>
            </a:solidFill>
            <a:ln>
              <a:solidFill>
                <a:srgbClr val="C65911"/>
              </a:solidFill>
              <a:prstDash val="solid"/>
            </a:ln>
          </c:spPr>
          <c:invertIfNegative val="1"/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C65911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469-484D-BCDA-3D8DFC952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0"/>
        <c:axId val="17781237"/>
        <c:axId val="88853993"/>
      </c:barChart>
      <c:catAx>
        <c:axId val="17781237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auto val="1"/>
        <c:lblAlgn val="ctr"/>
        <c:lblOffset val="100"/>
        <c:noMultiLvlLbl val="1"/>
      </c:catAx>
      <c:valAx>
        <c:axId val="88853993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doughnut chart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1"/>
          <c:order val="1"/>
          <c:tx>
            <c:strRef>
              <c:f>Sheet1!$C$26</c:f>
              <c:strCache>
                <c:ptCount val="1"/>
                <c:pt idx="0">
                  <c:v>second dataset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6F3-468D-8D1E-72FC54A0285E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6F3-468D-8D1E-72FC54A0285E}"/>
              </c:ext>
            </c:extLst>
          </c:dPt>
          <c:dPt>
            <c:idx val="2"/>
            <c:bubble3D val="0"/>
            <c:spPr>
              <a:solidFill>
                <a:srgbClr val="AEC7E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6F3-468D-8D1E-72FC54A0285E}"/>
              </c:ext>
            </c:extLst>
          </c:dPt>
          <c:dPt>
            <c:idx val="3"/>
            <c:bubble3D val="0"/>
            <c:spPr>
              <a:solidFill>
                <a:srgbClr val="FFBB7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6F3-468D-8D1E-72FC54A0285E}"/>
              </c:ext>
            </c:extLst>
          </c:dPt>
          <c:dPt>
            <c:idx val="4"/>
            <c:bubble3D val="0"/>
            <c:spPr>
              <a:solidFill>
                <a:srgbClr val="2CA02C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06F3-468D-8D1E-72FC54A0285E}"/>
              </c:ext>
            </c:extLst>
          </c:dPt>
          <c:dPt>
            <c:idx val="5"/>
            <c:bubble3D val="0"/>
            <c:spPr>
              <a:solidFill>
                <a:srgbClr val="98DF8A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06F3-468D-8D1E-72FC54A0285E}"/>
              </c:ext>
            </c:extLst>
          </c:dPt>
          <c:dPt>
            <c:idx val="6"/>
            <c:bubble3D val="0"/>
            <c:spPr>
              <a:solidFill>
                <a:srgbClr val="D6272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06F3-468D-8D1E-72FC54A0285E}"/>
              </c:ext>
            </c:extLst>
          </c:dPt>
          <c:dPt>
            <c:idx val="7"/>
            <c:bubble3D val="0"/>
            <c:spPr>
              <a:solidFill>
                <a:srgbClr val="FF9896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06F3-468D-8D1E-72FC54A0285E}"/>
              </c:ext>
            </c:extLst>
          </c:dPt>
          <c:dPt>
            <c:idx val="8"/>
            <c:bubble3D val="0"/>
            <c:spPr>
              <a:solidFill>
                <a:srgbClr val="9467BD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06F3-468D-8D1E-72FC54A0285E}"/>
              </c:ext>
            </c:extLst>
          </c:dPt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6F3-468D-8D1E-72FC54A0285E}"/>
            </c:ext>
          </c:extLst>
        </c:ser>
        <c:ser>
          <c:idx val="0"/>
          <c:order val="0"/>
          <c:tx>
            <c:strRef>
              <c:f>Sheet1!$B$26</c:f>
              <c:strCache>
                <c:ptCount val="1"/>
                <c:pt idx="0">
                  <c:v>first dataset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4-06F3-468D-8D1E-72FC54A0285E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6-06F3-468D-8D1E-72FC54A0285E}"/>
              </c:ext>
            </c:extLst>
          </c:dPt>
          <c:dPt>
            <c:idx val="2"/>
            <c:bubble3D val="0"/>
            <c:spPr>
              <a:solidFill>
                <a:srgbClr val="AEC7E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8-06F3-468D-8D1E-72FC54A0285E}"/>
              </c:ext>
            </c:extLst>
          </c:dPt>
          <c:dPt>
            <c:idx val="3"/>
            <c:bubble3D val="0"/>
            <c:spPr>
              <a:solidFill>
                <a:srgbClr val="FFBB7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A-06F3-468D-8D1E-72FC54A0285E}"/>
              </c:ext>
            </c:extLst>
          </c:dPt>
          <c:dPt>
            <c:idx val="4"/>
            <c:bubble3D val="0"/>
            <c:spPr>
              <a:solidFill>
                <a:srgbClr val="2CA02C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C-06F3-468D-8D1E-72FC54A0285E}"/>
              </c:ext>
            </c:extLst>
          </c:dPt>
          <c:dPt>
            <c:idx val="5"/>
            <c:bubble3D val="0"/>
            <c:spPr>
              <a:solidFill>
                <a:srgbClr val="98DF8A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E-06F3-468D-8D1E-72FC54A0285E}"/>
              </c:ext>
            </c:extLst>
          </c:dPt>
          <c:dPt>
            <c:idx val="6"/>
            <c:bubble3D val="0"/>
            <c:spPr>
              <a:solidFill>
                <a:srgbClr val="D6272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0-06F3-468D-8D1E-72FC54A0285E}"/>
              </c:ext>
            </c:extLst>
          </c:dPt>
          <c:dPt>
            <c:idx val="7"/>
            <c:bubble3D val="0"/>
            <c:spPr>
              <a:solidFill>
                <a:srgbClr val="FF9896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2-06F3-468D-8D1E-72FC54A0285E}"/>
              </c:ext>
            </c:extLst>
          </c:dPt>
          <c:dPt>
            <c:idx val="8"/>
            <c:bubble3D val="0"/>
            <c:spPr>
              <a:solidFill>
                <a:srgbClr val="9467BD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4-06F3-468D-8D1E-72FC54A0285E}"/>
              </c:ext>
            </c:extLst>
          </c:dPt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06F3-468D-8D1E-72FC54A02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0"/>
      </c:doughnutChart>
      <c:spPr>
        <a:solidFill>
          <a:srgbClr val="FFFFFF"/>
        </a:solidFill>
      </c:spPr>
    </c:plotArea>
    <c:legend>
      <c:legendPos val="t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pie </a:t>
            </a:r>
            <a:r>
              <a:rPr lang="en-US" sz="2400"/>
              <a:t>chart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Sheet1!$B$26</c:f>
              <c:strCache>
                <c:ptCount val="1"/>
                <c:pt idx="0">
                  <c:v>first dataset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4-D3B3-4A1E-98B7-7F47BB6C247A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6-D3B3-4A1E-98B7-7F47BB6C247A}"/>
              </c:ext>
            </c:extLst>
          </c:dPt>
          <c:dPt>
            <c:idx val="2"/>
            <c:bubble3D val="0"/>
            <c:spPr>
              <a:solidFill>
                <a:srgbClr val="AEC7E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8-D3B3-4A1E-98B7-7F47BB6C247A}"/>
              </c:ext>
            </c:extLst>
          </c:dPt>
          <c:dPt>
            <c:idx val="3"/>
            <c:bubble3D val="0"/>
            <c:spPr>
              <a:solidFill>
                <a:srgbClr val="FFBB7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A-D3B3-4A1E-98B7-7F47BB6C247A}"/>
              </c:ext>
            </c:extLst>
          </c:dPt>
          <c:dPt>
            <c:idx val="4"/>
            <c:bubble3D val="0"/>
            <c:spPr>
              <a:solidFill>
                <a:srgbClr val="2CA02C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C-D3B3-4A1E-98B7-7F47BB6C247A}"/>
              </c:ext>
            </c:extLst>
          </c:dPt>
          <c:dPt>
            <c:idx val="5"/>
            <c:bubble3D val="0"/>
            <c:spPr>
              <a:solidFill>
                <a:srgbClr val="98DF8A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E-D3B3-4A1E-98B7-7F47BB6C247A}"/>
              </c:ext>
            </c:extLst>
          </c:dPt>
          <c:dPt>
            <c:idx val="6"/>
            <c:bubble3D val="0"/>
            <c:spPr>
              <a:solidFill>
                <a:srgbClr val="D6272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0-D3B3-4A1E-98B7-7F47BB6C247A}"/>
              </c:ext>
            </c:extLst>
          </c:dPt>
          <c:dPt>
            <c:idx val="7"/>
            <c:bubble3D val="0"/>
            <c:spPr>
              <a:solidFill>
                <a:srgbClr val="FF9896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2-D3B3-4A1E-98B7-7F47BB6C247A}"/>
              </c:ext>
            </c:extLst>
          </c:dPt>
          <c:dPt>
            <c:idx val="8"/>
            <c:bubble3D val="0"/>
            <c:spPr>
              <a:solidFill>
                <a:srgbClr val="9467BD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4-D3B3-4A1E-98B7-7F47BB6C247A}"/>
              </c:ext>
            </c:extLst>
          </c:dPt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D3B3-4A1E-98B7-7F47BB6C2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</c:spPr>
    </c:plotArea>
    <c:legend>
      <c:legendPos val="t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scatter chart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spPr>
              <a:ln>
                <a:solidFill>
                  <a:srgbClr val="A5A5A5"/>
                </a:solidFill>
                <a:prstDash val="solid"/>
              </a:ln>
            </c:spPr>
            <c:trendlineType val="log"/>
            <c:dispRSqr val="0"/>
            <c:dispEq val="0"/>
          </c:trendline>
          <c:x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xVal>
          <c:y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00-4695-A558-70E3A369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81237"/>
        <c:axId val="88853993"/>
      </c:scatterChart>
      <c:valAx>
        <c:axId val="17781237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crossBetween val="midCat"/>
      </c:valAx>
      <c:valAx>
        <c:axId val="88853993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midCat"/>
      </c:valAx>
      <c:spPr>
        <a:solidFill>
          <a:srgbClr val="FFFFFF"/>
        </a:solidFill>
      </c:spPr>
    </c:plotArea>
    <c:legend>
      <c:legendPos val="b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combo chart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77B4"/>
            </a:solidFill>
            <a:ln cmpd="sng">
              <a:solidFill>
                <a:srgbClr val="1F77B4"/>
              </a:solidFill>
            </a:ln>
          </c:spPr>
          <c:invertIfNegative val="1"/>
          <c:trendline>
            <c:spPr>
              <a:ln>
                <a:solidFill>
                  <a:srgbClr val="70AD47"/>
                </a:solidFill>
                <a:prstDash val="solid"/>
              </a:ln>
            </c:spPr>
            <c:trendlineType val="movingAvg"/>
            <c:period val="3"/>
            <c:dispRSqr val="0"/>
            <c:dispEq val="0"/>
          </c:trendline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1F77B4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57C-469E-B304-7A21AF960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81237"/>
        <c:axId val="88853993"/>
      </c:barChart>
      <c:lineChart>
        <c:grouping val="standard"/>
        <c:varyColors val="0"/>
        <c:ser>
          <c:idx val="1"/>
          <c:order val="1"/>
          <c:spPr>
            <a:ln cmpd="sng">
              <a:solidFill>
                <a:srgbClr val="FF7F0E"/>
              </a:solidFill>
            </a:ln>
          </c:spPr>
          <c:marker>
            <c:symbol val="none"/>
          </c:marker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7C-469E-B304-7A21AF960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81237"/>
        <c:axId val="88853993"/>
      </c:lineChart>
      <c:catAx>
        <c:axId val="17781237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auto val="1"/>
        <c:lblAlgn val="ctr"/>
        <c:lblOffset val="100"/>
        <c:noMultiLvlLbl val="1"/>
      </c:catAx>
      <c:valAx>
        <c:axId val="88853993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radar chart</a:t>
            </a:r>
          </a:p>
        </c:rich>
      </c:tx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cmpd="sng">
              <a:solidFill>
                <a:srgbClr val="1F77B4"/>
              </a:solidFill>
            </a:ln>
          </c:spPr>
          <c:marker>
            <c:symbol val="none"/>
          </c:marker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9-4952-B105-568BDB7EC1F4}"/>
            </c:ext>
          </c:extLst>
        </c:ser>
        <c:ser>
          <c:idx val="1"/>
          <c:order val="1"/>
          <c:spPr>
            <a:ln cmpd="sng">
              <a:solidFill>
                <a:srgbClr val="FF7F0E"/>
              </a:solidFill>
            </a:ln>
          </c:spPr>
          <c:marker>
            <c:symbol val="none"/>
          </c:marker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9-4952-B105-568BDB7EC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81237"/>
        <c:axId val="88853993"/>
      </c:radarChart>
      <c:catAx>
        <c:axId val="17781237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auto val="1"/>
        <c:lblAlgn val="ctr"/>
        <c:lblOffset val="100"/>
        <c:noMultiLvlLbl val="1"/>
      </c:catAx>
      <c:valAx>
        <c:axId val="88853993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between"/>
      </c:valAx>
      <c:spPr>
        <a:solidFill>
          <a:srgbClr val="FFFFFF"/>
        </a:solidFill>
      </c:spPr>
    </c:plotArea>
    <c:legend>
      <c:legendPos val="t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scatter chart with textual labels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spPr>
              <a:ln>
                <a:solidFill>
                  <a:srgbClr val="FFC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xVal>
          <c:y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20-45B8-B7E8-F475A1A65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81237"/>
        <c:axId val="88853993"/>
      </c:scatterChart>
      <c:valAx>
        <c:axId val="17781237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crossBetween val="midCat"/>
      </c:valAx>
      <c:valAx>
        <c:axId val="88853993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midCat"/>
      </c:valAx>
      <c:spPr>
        <a:solidFill>
          <a:srgbClr val="FFFFFF"/>
        </a:solidFill>
      </c:spPr>
    </c:plotArea>
    <c:legend>
      <c:legendPos val="l"/>
      <c:overlay val="0"/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horizontal bar chart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solidFill>
                <a:srgbClr val="7030A0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>
                <a:solidFill>
                  <a:srgbClr val="ED7D31"/>
                </a:solidFill>
                <a:prstDash val="solid"/>
              </a:ln>
            </c:spPr>
            <c:trendlineType val="exp"/>
            <c:dispRSqr val="0"/>
            <c:dispEq val="0"/>
          </c:trendline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7030A0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F1A-4275-B2BE-C9AFCD205303}"/>
            </c:ext>
          </c:extLst>
        </c:ser>
        <c:ser>
          <c:idx val="1"/>
          <c:order val="1"/>
          <c:spPr>
            <a:solidFill>
              <a:srgbClr val="C65911"/>
            </a:solidFill>
            <a:ln>
              <a:solidFill>
                <a:srgbClr val="C65911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C65911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4F1A-4275-B2BE-C9AFCD205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81237"/>
        <c:axId val="88853993"/>
      </c:barChart>
      <c:catAx>
        <c:axId val="17781237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auto val="1"/>
        <c:lblAlgn val="ctr"/>
        <c:lblOffset val="100"/>
        <c:noMultiLvlLbl val="1"/>
      </c:catAx>
      <c:valAx>
        <c:axId val="88853993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doughnut chart with hole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Sheet1!$B$26</c:f>
              <c:strCache>
                <c:ptCount val="1"/>
                <c:pt idx="0">
                  <c:v>first dataset</c:v>
                </c:pt>
              </c:strCache>
            </c:strRef>
          </c:tx>
          <c:dPt>
            <c:idx val="0"/>
            <c:bubble3D val="0"/>
            <c:spPr>
              <a:solidFill>
                <a:srgbClr val="1F77B4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4-4968-47CD-A428-E1CFDB94D5E6}"/>
              </c:ext>
            </c:extLst>
          </c:dPt>
          <c:dPt>
            <c:idx val="1"/>
            <c:bubble3D val="0"/>
            <c:spPr>
              <a:solidFill>
                <a:srgbClr val="FF7F0E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6-4968-47CD-A428-E1CFDB94D5E6}"/>
              </c:ext>
            </c:extLst>
          </c:dPt>
          <c:dPt>
            <c:idx val="2"/>
            <c:bubble3D val="0"/>
            <c:spPr>
              <a:solidFill>
                <a:srgbClr val="AEC7E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8-4968-47CD-A428-E1CFDB94D5E6}"/>
              </c:ext>
            </c:extLst>
          </c:dPt>
          <c:dPt>
            <c:idx val="3"/>
            <c:bubble3D val="0"/>
            <c:spPr>
              <a:solidFill>
                <a:srgbClr val="FFBB7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A-4968-47CD-A428-E1CFDB94D5E6}"/>
              </c:ext>
            </c:extLst>
          </c:dPt>
          <c:dPt>
            <c:idx val="4"/>
            <c:bubble3D val="0"/>
            <c:spPr>
              <a:solidFill>
                <a:srgbClr val="2CA02C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C-4968-47CD-A428-E1CFDB94D5E6}"/>
              </c:ext>
            </c:extLst>
          </c:dPt>
          <c:dPt>
            <c:idx val="5"/>
            <c:bubble3D val="0"/>
            <c:spPr>
              <a:solidFill>
                <a:srgbClr val="98DF8A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E-4968-47CD-A428-E1CFDB94D5E6}"/>
              </c:ext>
            </c:extLst>
          </c:dPt>
          <c:dPt>
            <c:idx val="6"/>
            <c:bubble3D val="0"/>
            <c:spPr>
              <a:solidFill>
                <a:srgbClr val="D62728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0-4968-47CD-A428-E1CFDB94D5E6}"/>
              </c:ext>
            </c:extLst>
          </c:dPt>
          <c:dPt>
            <c:idx val="7"/>
            <c:bubble3D val="0"/>
            <c:spPr>
              <a:solidFill>
                <a:srgbClr val="FF9896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2-4968-47CD-A428-E1CFDB94D5E6}"/>
              </c:ext>
            </c:extLst>
          </c:dPt>
          <c:dPt>
            <c:idx val="8"/>
            <c:bubble3D val="0"/>
            <c:spPr>
              <a:solidFill>
                <a:srgbClr val="9467BD"/>
              </a:solidFill>
              <a:ln w="14288" cmpd="sng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24-4968-47CD-A428-E1CFDB94D5E6}"/>
              </c:ext>
            </c:extLst>
          </c:dPt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4968-47CD-A428-E1CFDB94D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solidFill>
          <a:srgbClr val="FFFFFF"/>
        </a:solidFill>
      </c:spPr>
    </c:plotArea>
    <c:legend>
      <c:legendPos val="t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r>
              <a:rPr lang="en-US" sz="2200"/>
              <a:t>chart with composite ranges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solidFill>
                <a:srgbClr val="7030A0"/>
              </a:solidFill>
              <a:prstDash val="solid"/>
            </a:ln>
          </c:spPr>
          <c:invertIfNegative val="1"/>
          <c:cat>
            <c:multiLvlStrRef>
              <c:f>([2]Sheet1!$A$27:$C$35,[2]Sheet1!$A$27:$C$31)</c:f>
              <c:multiLvlStrCache>
                <c:ptCount val="14"/>
                <c:lvl>
                  <c:pt idx="0">
                    <c:v>24</c:v>
                  </c:pt>
                  <c:pt idx="1">
                    <c:v>12</c:v>
                  </c:pt>
                  <c:pt idx="2">
                    <c:v>27</c:v>
                  </c:pt>
                  <c:pt idx="3">
                    <c:v>9</c:v>
                  </c:pt>
                  <c:pt idx="4">
                    <c:v>45</c:v>
                  </c:pt>
                  <c:pt idx="5">
                    <c:v>17</c:v>
                  </c:pt>
                  <c:pt idx="6">
                    <c:v>43</c:v>
                  </c:pt>
                  <c:pt idx="7">
                    <c:v>11</c:v>
                  </c:pt>
                  <c:pt idx="8">
                    <c:v>16</c:v>
                  </c:pt>
                  <c:pt idx="9">
                    <c:v>24</c:v>
                  </c:pt>
                  <c:pt idx="10">
                    <c:v>12</c:v>
                  </c:pt>
                  <c:pt idx="11">
                    <c:v>27</c:v>
                  </c:pt>
                  <c:pt idx="12">
                    <c:v>9</c:v>
                  </c:pt>
                  <c:pt idx="13">
                    <c:v>45</c:v>
                  </c:pt>
                </c:lvl>
                <c:lvl>
                  <c:pt idx="0">
                    <c:v>12</c:v>
                  </c:pt>
                  <c:pt idx="1">
                    <c:v>48</c:v>
                  </c:pt>
                  <c:pt idx="2">
                    <c:v>45</c:v>
                  </c:pt>
                  <c:pt idx="3">
                    <c:v>1</c:v>
                  </c:pt>
                  <c:pt idx="4">
                    <c:v>25</c:v>
                  </c:pt>
                  <c:pt idx="5">
                    <c:v>31</c:v>
                  </c:pt>
                  <c:pt idx="6">
                    <c:v>20</c:v>
                  </c:pt>
                  <c:pt idx="7">
                    <c:v>19</c:v>
                  </c:pt>
                  <c:pt idx="8">
                    <c:v>16</c:v>
                  </c:pt>
                  <c:pt idx="9">
                    <c:v>12</c:v>
                  </c:pt>
                  <c:pt idx="10">
                    <c:v>48</c:v>
                  </c:pt>
                  <c:pt idx="11">
                    <c:v>45</c:v>
                  </c:pt>
                  <c:pt idx="12">
                    <c:v>1</c:v>
                  </c:pt>
                  <c:pt idx="13">
                    <c:v>25</c:v>
                  </c:pt>
                </c:lvl>
                <c:lvl>
                  <c:pt idx="0">
                    <c:v>Emily Anderson (Emmy)</c:v>
                  </c:pt>
                  <c:pt idx="1">
                    <c:v>Sophie Allen (Saffi)</c:v>
                  </c:pt>
                  <c:pt idx="2">
                    <c:v>Chloe Adams</c:v>
                  </c:pt>
                  <c:pt idx="3">
                    <c:v>Megan Alexander (Meg)</c:v>
                  </c:pt>
                  <c:pt idx="4">
                    <c:v>Lucy Arnold (Lulu)</c:v>
                  </c:pt>
                  <c:pt idx="5">
                    <c:v>Hannah Alvarez</c:v>
                  </c:pt>
                  <c:pt idx="6">
                    <c:v>Jessica Alcock (Jess)</c:v>
                  </c:pt>
                  <c:pt idx="7">
                    <c:v>Charlotte Anaya</c:v>
                  </c:pt>
                  <c:pt idx="8">
                    <c:v>Lauren Anthony</c:v>
                  </c:pt>
                  <c:pt idx="9">
                    <c:v>Emily Anderson (Emmy)</c:v>
                  </c:pt>
                  <c:pt idx="10">
                    <c:v>Sophie Allen (Saffi)</c:v>
                  </c:pt>
                  <c:pt idx="11">
                    <c:v>Chloe Adams</c:v>
                  </c:pt>
                  <c:pt idx="12">
                    <c:v>Megan Alexander (Meg)</c:v>
                  </c:pt>
                  <c:pt idx="13">
                    <c:v>Lucy Arnold (Lulu)</c:v>
                  </c:pt>
                </c:lvl>
              </c:multiLvlStrCache>
            </c:multiLvlStrRef>
          </c:cat>
          <c:val>
            <c:numRef>
              <c:f>[2]Sheet1!$B$27:$B$31</c:f>
              <c:numCache>
                <c:formatCode>General</c:formatCode>
                <c:ptCount val="5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7030A0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BF8-4BDD-A213-D4207D685044}"/>
            </c:ext>
          </c:extLst>
        </c:ser>
        <c:ser>
          <c:idx val="1"/>
          <c:order val="1"/>
          <c:spPr>
            <a:solidFill>
              <a:srgbClr val="C65911"/>
            </a:solidFill>
            <a:ln>
              <a:solidFill>
                <a:srgbClr val="C65911"/>
              </a:solidFill>
              <a:prstDash val="solid"/>
            </a:ln>
          </c:spPr>
          <c:invertIfNegative val="1"/>
          <c:cat>
            <c:strRef>
              <c:f>[2]Sheet1!$A$27:$A$31</c:f>
              <c:strCache>
                <c:ptCount val="5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</c:strCache>
            </c:strRef>
          </c:cat>
          <c:val>
            <c:numRef>
              <c:f>[2]Sheet1!$C$27:$C$31</c:f>
              <c:numCache>
                <c:formatCode>General</c:formatCode>
                <c:ptCount val="5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C65911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BF8-4BDD-A213-D4207D685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0"/>
        <c:axId val="17781237"/>
        <c:axId val="88853993"/>
      </c:barChart>
      <c:catAx>
        <c:axId val="17781237"/>
        <c:scaling>
          <c:orientation val="minMax"/>
        </c:scaling>
        <c:delete val="0"/>
        <c:axPos val="b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88853993"/>
        <c:crosses val="autoZero"/>
        <c:auto val="1"/>
        <c:lblAlgn val="ctr"/>
        <c:lblOffset val="100"/>
        <c:noMultiLvlLbl val="1"/>
      </c:catAx>
      <c:valAx>
        <c:axId val="88853993"/>
        <c:scaling>
          <c:orientation val="minMax"/>
        </c:scaling>
        <c:delete val="0"/>
        <c:axPos val="l"/>
        <c:majorGridlines>
          <c:spPr>
            <a:ln cmpd="sng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781237"/>
        <c:crosses val="autoZero"/>
        <c:crossBetween val="between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cmpd="sng"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Sheet1!$B$26</c:f>
              <c:strCache>
                <c:ptCount val="1"/>
                <c:pt idx="0">
                  <c:v>first dataset</c:v>
                </c:pt>
              </c:strCache>
            </c:strRef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Sheet1!$B$27:$B$35</c:f>
              <c:numCache>
                <c:formatCode>General</c:formatCode>
                <c:ptCount val="9"/>
                <c:pt idx="0">
                  <c:v>12</c:v>
                </c:pt>
                <c:pt idx="1">
                  <c:v>48</c:v>
                </c:pt>
                <c:pt idx="2">
                  <c:v>45</c:v>
                </c:pt>
                <c:pt idx="3">
                  <c:v>1</c:v>
                </c:pt>
                <c:pt idx="4">
                  <c:v>25</c:v>
                </c:pt>
                <c:pt idx="5">
                  <c:v>31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94B-45A0-8AD6-3E4F4E7665C2}"/>
            </c:ext>
          </c:extLst>
        </c:ser>
        <c:ser>
          <c:idx val="1"/>
          <c:order val="1"/>
          <c:tx>
            <c:strRef>
              <c:f>Sheet1!$C$26</c:f>
              <c:strCache>
                <c:ptCount val="1"/>
                <c:pt idx="0">
                  <c:v>second dataset</c:v>
                </c:pt>
              </c:strCache>
            </c:strRef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Sheet1!$A$27:$A$35</c:f>
              <c:strCache>
                <c:ptCount val="9"/>
                <c:pt idx="0">
                  <c:v>Emily Anderson (Emmy)</c:v>
                </c:pt>
                <c:pt idx="1">
                  <c:v>Sophie Allen (Saffi)</c:v>
                </c:pt>
                <c:pt idx="2">
                  <c:v>Chloe Adams</c:v>
                </c:pt>
                <c:pt idx="3">
                  <c:v>Megan Alexander (Meg)</c:v>
                </c:pt>
                <c:pt idx="4">
                  <c:v>Lucy Arnold (Lulu)</c:v>
                </c:pt>
                <c:pt idx="5">
                  <c:v>Hannah Alvarez</c:v>
                </c:pt>
                <c:pt idx="6">
                  <c:v>Jessica Alcock (Jess)</c:v>
                </c:pt>
                <c:pt idx="7">
                  <c:v>Charlotte Anaya</c:v>
                </c:pt>
                <c:pt idx="8">
                  <c:v>Lauren Anthony</c:v>
                </c:pt>
              </c:strCache>
            </c:strRef>
          </c:cat>
          <c:val>
            <c:numRef>
              <c:f>Sheet1!$C$27:$C$35</c:f>
              <c:numCache>
                <c:formatCode>General</c:formatCode>
                <c:ptCount val="9"/>
                <c:pt idx="0">
                  <c:v>24</c:v>
                </c:pt>
                <c:pt idx="1">
                  <c:v>12</c:v>
                </c:pt>
                <c:pt idx="2">
                  <c:v>27</c:v>
                </c:pt>
                <c:pt idx="3">
                  <c:v>9</c:v>
                </c:pt>
                <c:pt idx="4">
                  <c:v>45</c:v>
                </c:pt>
                <c:pt idx="5">
                  <c:v>17</c:v>
                </c:pt>
                <c:pt idx="6">
                  <c:v>43</c:v>
                </c:pt>
                <c:pt idx="7">
                  <c:v>11</c:v>
                </c:pt>
                <c:pt idx="8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94B-45A0-8AD6-3E4F4E766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664793"/>
        <c:axId val="344680958"/>
      </c:barChart>
      <c:catAx>
        <c:axId val="9986647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344680958"/>
        <c:crosses val="autoZero"/>
        <c:auto val="1"/>
        <c:lblAlgn val="ctr"/>
        <c:lblOffset val="100"/>
        <c:noMultiLvlLbl val="1"/>
      </c:catAx>
      <c:valAx>
        <c:axId val="3446809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99866479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4</xdr:row>
      <xdr:rowOff>66675</xdr:rowOff>
    </xdr:from>
    <xdr:to>
      <xdr:col>6</xdr:col>
      <xdr:colOff>228600</xdr:colOff>
      <xdr:row>17</xdr:row>
      <xdr:rowOff>76200</xdr:rowOff>
    </xdr:to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104775</xdr:colOff>
      <xdr:row>4</xdr:row>
      <xdr:rowOff>66675</xdr:rowOff>
    </xdr:from>
    <xdr:to>
      <xdr:col>11</xdr:col>
      <xdr:colOff>257175</xdr:colOff>
      <xdr:row>17</xdr:row>
      <xdr:rowOff>76200</xdr:rowOff>
    </xdr:to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104775</xdr:colOff>
      <xdr:row>18</xdr:row>
      <xdr:rowOff>57150</xdr:rowOff>
    </xdr:from>
    <xdr:to>
      <xdr:col>11</xdr:col>
      <xdr:colOff>400050</xdr:colOff>
      <xdr:row>36</xdr:row>
      <xdr:rowOff>95250</xdr:rowOff>
    </xdr:to>
    <xdr:graphicFrame macro="">
      <xdr:nvGraphicFramePr>
        <xdr:cNvPr id="4" name="Chart 3" title="Chart">
          <a:extLst>
            <a:ext uri="{FF2B5EF4-FFF2-40B4-BE49-F238E27FC236}">
              <a16:creationId xmlns:a16="http://schemas.microsoft.com/office/drawing/2014/main" id="{00000000-0008-0000-0100-000004000000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57149</xdr:colOff>
      <xdr:row>37</xdr:row>
      <xdr:rowOff>66675</xdr:rowOff>
    </xdr:from>
    <xdr:to>
      <xdr:col>11</xdr:col>
      <xdr:colOff>409574</xdr:colOff>
      <xdr:row>55</xdr:row>
      <xdr:rowOff>104775</xdr:rowOff>
    </xdr:to>
    <xdr:graphicFrame macro="">
      <xdr:nvGraphicFramePr>
        <xdr:cNvPr id="6" name="Chart 5" title="Chart">
          <a:extLst>
            <a:ext uri="{FF2B5EF4-FFF2-40B4-BE49-F238E27FC236}">
              <a16:creationId xmlns:a16="http://schemas.microsoft.com/office/drawing/2014/main" id="{1E90E321-E964-46C8-9CE7-DEE1186146D9}"/>
            </a:ext>
            <a:ext uri="{147F2762-F138-4A5C-976F-8EAC2B608ADB}">
              <a16:predDERef xmlns:a16="http://schemas.microsoft.com/office/drawing/2014/main" pre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12</xdr:col>
      <xdr:colOff>0</xdr:colOff>
      <xdr:row>4</xdr:row>
      <xdr:rowOff>0</xdr:rowOff>
    </xdr:from>
    <xdr:to>
      <xdr:col>16</xdr:col>
      <xdr:colOff>152400</xdr:colOff>
      <xdr:row>17</xdr:row>
      <xdr:rowOff>9525</xdr:rowOff>
    </xdr:to>
    <xdr:graphicFrame macro="">
      <xdr:nvGraphicFramePr>
        <xdr:cNvPr id="7" name="Chart 4" title="Chart">
          <a:extLst>
            <a:ext uri="{FF2B5EF4-FFF2-40B4-BE49-F238E27FC236}">
              <a16:creationId xmlns:a16="http://schemas.microsoft.com/office/drawing/2014/main" id="{6CC27214-40A9-4FF9-BB37-40F876B2768B}"/>
            </a:ext>
            <a:ext uri="{147F2762-F138-4A5C-976F-8EAC2B608ADB}">
              <a16:predDERef xmlns:a16="http://schemas.microsoft.com/office/drawing/2014/main" pred="{1E90E321-E964-46C8-9CE7-DEE1186146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7</xdr:col>
      <xdr:colOff>0</xdr:colOff>
      <xdr:row>57</xdr:row>
      <xdr:rowOff>0</xdr:rowOff>
    </xdr:from>
    <xdr:to>
      <xdr:col>11</xdr:col>
      <xdr:colOff>152400</xdr:colOff>
      <xdr:row>70</xdr:row>
      <xdr:rowOff>9525</xdr:rowOff>
    </xdr:to>
    <xdr:graphicFrame macro="">
      <xdr:nvGraphicFramePr>
        <xdr:cNvPr id="8" name="Chart 6" title="Chart">
          <a:extLst>
            <a:ext uri="{FF2B5EF4-FFF2-40B4-BE49-F238E27FC236}">
              <a16:creationId xmlns:a16="http://schemas.microsoft.com/office/drawing/2014/main" id="{A5685A00-859E-4641-A529-E7042819F3BF}"/>
            </a:ext>
            <a:ext uri="{147F2762-F138-4A5C-976F-8EAC2B608ADB}">
              <a16:predDERef xmlns:a16="http://schemas.microsoft.com/office/drawing/2014/main" pred="{6CC27214-40A9-4FF9-BB37-40F876B276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2</xdr:col>
      <xdr:colOff>91440</xdr:colOff>
      <xdr:row>57</xdr:row>
      <xdr:rowOff>60960</xdr:rowOff>
    </xdr:from>
    <xdr:to>
      <xdr:col>6</xdr:col>
      <xdr:colOff>243840</xdr:colOff>
      <xdr:row>70</xdr:row>
      <xdr:rowOff>70485</xdr:rowOff>
    </xdr:to>
    <xdr:graphicFrame macro="">
      <xdr:nvGraphicFramePr>
        <xdr:cNvPr id="5" name="Chart 6" title="Chart">
          <a:extLst>
            <a:ext uri="{FF2B5EF4-FFF2-40B4-BE49-F238E27FC236}">
              <a16:creationId xmlns:a16="http://schemas.microsoft.com/office/drawing/2014/main" id="{E2B20B98-FA84-44C9-8DBB-5852658E9967}"/>
            </a:ext>
            <a:ext uri="{147F2762-F138-4A5C-976F-8EAC2B608ADB}">
              <a16:predDERef xmlns:a16="http://schemas.microsoft.com/office/drawing/2014/main" pred="{A5685A00-859E-4641-A529-E7042819F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12</xdr:col>
      <xdr:colOff>9525</xdr:colOff>
      <xdr:row>18</xdr:row>
      <xdr:rowOff>38100</xdr:rowOff>
    </xdr:from>
    <xdr:to>
      <xdr:col>16</xdr:col>
      <xdr:colOff>161925</xdr:colOff>
      <xdr:row>31</xdr:row>
      <xdr:rowOff>47625</xdr:rowOff>
    </xdr:to>
    <xdr:graphicFrame macro="">
      <xdr:nvGraphicFramePr>
        <xdr:cNvPr id="9" name="Chart 8" title="Chart">
          <a:extLst>
            <a:ext uri="{FF2B5EF4-FFF2-40B4-BE49-F238E27FC236}">
              <a16:creationId xmlns:a16="http://schemas.microsoft.com/office/drawing/2014/main" id="{5D2716A1-A175-44F9-BBD0-26D27F88F15C}"/>
            </a:ext>
            <a:ext uri="{147F2762-F138-4A5C-976F-8EAC2B608ADB}">
              <a16:predDERef xmlns:a16="http://schemas.microsoft.com/office/drawing/2014/main" pred="{E2B20B98-FA84-44C9-8DBB-5852658E9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38100</xdr:colOff>
      <xdr:row>32</xdr:row>
      <xdr:rowOff>104775</xdr:rowOff>
    </xdr:from>
    <xdr:to>
      <xdr:col>16</xdr:col>
      <xdr:colOff>190500</xdr:colOff>
      <xdr:row>52</xdr:row>
      <xdr:rowOff>47625</xdr:rowOff>
    </xdr:to>
    <xdr:graphicFrame macro="">
      <xdr:nvGraphicFramePr>
        <xdr:cNvPr id="10" name="Chart 9" title="Chart">
          <a:extLst>
            <a:ext uri="{FF2B5EF4-FFF2-40B4-BE49-F238E27FC236}">
              <a16:creationId xmlns:a16="http://schemas.microsoft.com/office/drawing/2014/main" id="{B8A2F032-405F-4BA7-AB00-B42F129443DB}"/>
            </a:ext>
            <a:ext uri="{147F2762-F138-4A5C-976F-8EAC2B608ADB}">
              <a16:predDERef xmlns:a16="http://schemas.microsoft.com/office/drawing/2014/main" pred="{5D2716A1-A175-44F9-BBD0-26D27F88F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66675</xdr:colOff>
      <xdr:row>71</xdr:row>
      <xdr:rowOff>114300</xdr:rowOff>
    </xdr:from>
    <xdr:to>
      <xdr:col>11</xdr:col>
      <xdr:colOff>361950</xdr:colOff>
      <xdr:row>89</xdr:row>
      <xdr:rowOff>152400</xdr:rowOff>
    </xdr:to>
    <xdr:graphicFrame macro="">
      <xdr:nvGraphicFramePr>
        <xdr:cNvPr id="11" name="Chart 10" title="Chart">
          <a:extLst>
            <a:ext uri="{FF2B5EF4-FFF2-40B4-BE49-F238E27FC236}">
              <a16:creationId xmlns:a16="http://schemas.microsoft.com/office/drawing/2014/main" id="{C61D9073-4096-46BA-BD71-5483ACC71F2A}"/>
            </a:ext>
            <a:ext uri="{147F2762-F138-4A5C-976F-8EAC2B608ADB}">
              <a16:predDERef xmlns:a16="http://schemas.microsoft.com/office/drawing/2014/main" pred="{B8A2F032-405F-4BA7-AB00-B42F129443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0</xdr:colOff>
      <xdr:row>54</xdr:row>
      <xdr:rowOff>0</xdr:rowOff>
    </xdr:from>
    <xdr:to>
      <xdr:col>16</xdr:col>
      <xdr:colOff>114300</xdr:colOff>
      <xdr:row>67</xdr:row>
      <xdr:rowOff>9525</xdr:rowOff>
    </xdr:to>
    <xdr:graphicFrame macro="">
      <xdr:nvGraphicFramePr>
        <xdr:cNvPr id="12" name="Chart 11" title="Chart">
          <a:extLst>
            <a:ext uri="{FF2B5EF4-FFF2-40B4-BE49-F238E27FC236}">
              <a16:creationId xmlns:a16="http://schemas.microsoft.com/office/drawing/2014/main" id="{42D23678-8AAB-414A-8704-0FA4F2260912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810360</xdr:colOff>
      <xdr:row>0</xdr:row>
      <xdr:rowOff>0</xdr:rowOff>
    </xdr:from>
    <xdr:to>
      <xdr:col>1</xdr:col>
      <xdr:colOff>579960</xdr:colOff>
      <xdr:row>24</xdr:row>
      <xdr:rowOff>55080</xdr:rowOff>
    </xdr:to>
    <xdr:pic>
      <xdr:nvPicPr>
        <xdr:cNvPr id="2" name="Image 1" title="Ima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272415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57850" cy="3495675"/>
    <xdr:graphicFrame macro="">
      <xdr:nvGraphicFramePr>
        <xdr:cNvPr id="5" name="Chart 5" title="Chart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7</xdr:col>
      <xdr:colOff>57150</xdr:colOff>
      <xdr:row>0</xdr:row>
      <xdr:rowOff>0</xdr:rowOff>
    </xdr:from>
    <xdr:ext cx="3733800" cy="37338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drien/odoo/spreadsheet/tests/__xlsx__/test%20theme.xlsx" TargetMode="External"/><Relationship Id="rId1" Type="http://schemas.openxmlformats.org/officeDocument/2006/relationships/externalLinkPath" Target="/Users/Adrien/odoo/spreadsheet/tests/__xlsx__/test%20them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Adrien/Downloads/xlsx_demo_data%2018.xlsx" TargetMode="External"/><Relationship Id="rId2" Type="http://schemas.openxmlformats.org/officeDocument/2006/relationships/externalLinkPath" Target="file:///C:\Users\Adrien\Downloads\xlsx_demo_data%2018.xlsx" TargetMode="External"/><Relationship Id="rId1" Type="http://schemas.openxmlformats.org/officeDocument/2006/relationships/externalLinkPath" Target="/Users/Adrien/Downloads/xlsx_demo_data%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</sheetNames>
    <sheetDataSet>
      <sheetData sheetId="0">
        <row r="1">
          <cell r="A1" t="str">
            <v>referenced string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Formulas"/>
      <sheetName val="jestSheet"/>
      <sheetName val="jestStyles"/>
      <sheetName val="jestCfs"/>
      <sheetName val="jestTable"/>
      <sheetName val="jestPivot"/>
      <sheetName val="jestCharts"/>
      <sheetName val="jestMiscTest"/>
      <sheetName val="jestHiddenSheet"/>
      <sheetName val="jestFreezePane"/>
      <sheetName val="jestImages"/>
      <sheetName val="jestOneCellAnchor"/>
      <sheetName val="jestDataValidations"/>
    </sheetNames>
    <sheetDataSet>
      <sheetData sheetId="0">
        <row r="27">
          <cell r="A27" t="str">
            <v>Emily Anderson (Emmy)</v>
          </cell>
          <cell r="B27">
            <v>12</v>
          </cell>
          <cell r="C27">
            <v>24</v>
          </cell>
        </row>
        <row r="28">
          <cell r="A28" t="str">
            <v>Sophie Allen (Saffi)</v>
          </cell>
          <cell r="B28">
            <v>48</v>
          </cell>
          <cell r="C28">
            <v>12</v>
          </cell>
        </row>
        <row r="29">
          <cell r="A29" t="str">
            <v>Chloe Adams</v>
          </cell>
          <cell r="B29">
            <v>45</v>
          </cell>
          <cell r="C29">
            <v>27</v>
          </cell>
        </row>
        <row r="30">
          <cell r="A30" t="str">
            <v>Megan Alexander (Meg)</v>
          </cell>
          <cell r="B30">
            <v>1</v>
          </cell>
          <cell r="C30">
            <v>9</v>
          </cell>
        </row>
        <row r="31">
          <cell r="A31" t="str">
            <v>Lucy Arnold (Lulu)</v>
          </cell>
          <cell r="B31">
            <v>25</v>
          </cell>
          <cell r="C31">
            <v>45</v>
          </cell>
        </row>
        <row r="32">
          <cell r="A32" t="str">
            <v>Hannah Alvarez</v>
          </cell>
          <cell r="B32">
            <v>31</v>
          </cell>
          <cell r="C32">
            <v>17</v>
          </cell>
        </row>
        <row r="33">
          <cell r="A33" t="str">
            <v>Jessica Alcock (Jess)</v>
          </cell>
          <cell r="B33">
            <v>20</v>
          </cell>
          <cell r="C33">
            <v>43</v>
          </cell>
        </row>
        <row r="34">
          <cell r="A34" t="str">
            <v>Charlotte Anaya</v>
          </cell>
          <cell r="B34">
            <v>19</v>
          </cell>
          <cell r="C34">
            <v>11</v>
          </cell>
        </row>
        <row r="35">
          <cell r="A35" t="str">
            <v>Lauren Anthony</v>
          </cell>
          <cell r="B35">
            <v>16</v>
          </cell>
          <cell r="C35">
            <v>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en" refreshedDate="44606.425659606481" createdVersion="7" refreshedVersion="7" minRefreshableVersion="3" recordCount="8" xr:uid="{F88877D8-4C71-40F4-AB33-E2E5CAE6E797}">
  <cacheSource type="worksheet">
    <worksheetSource ref="G1:K9" sheet="Formulas"/>
  </cacheSource>
  <cacheFields count="5">
    <cacheField name="Name" numFmtId="0">
      <sharedItems count="8">
        <s v="Robot1"/>
        <s v="Robot2"/>
        <s v="NotACheater"/>
        <s v="Robot4"/>
        <s v="Robot3"/>
        <s v="Robot6"/>
        <s v="Michel"/>
        <s v="Robot7"/>
      </sharedItems>
    </cacheField>
    <cacheField name="Age" numFmtId="0">
      <sharedItems containsSemiMixedTypes="0" containsString="0" containsNumber="1" containsInteger="1" minValue="9" maxValue="42"/>
    </cacheField>
    <cacheField name="Hours Played" numFmtId="0">
      <sharedItems containsSemiMixedTypes="0" containsString="0" containsNumber="1" minValue="12.1" maxValue="12052" count="8">
        <n v="1204.7"/>
        <n v="500.9"/>
        <n v="252.4"/>
        <n v="4701.3"/>
        <n v="12.1"/>
        <n v="4000"/>
        <n v="12052"/>
        <n v="4890.1000000000004"/>
      </sharedItems>
    </cacheField>
    <cacheField name="Tot. Score" numFmtId="0">
      <sharedItems containsSemiMixedTypes="0" containsString="0" containsNumber="1" minValue="2" maxValue="256018" count="8">
        <n v="25618"/>
        <n v="23000"/>
        <n v="110120.5"/>
        <n v="50024"/>
        <n v="2"/>
        <n v="189576"/>
        <n v="256018"/>
        <n v="5000"/>
      </sharedItems>
    </cacheField>
    <cacheField name="Rank (lower the better)" numFmtId="0">
      <sharedItems containsSemiMixedTypes="0" containsString="0" containsNumber="1" containsInteger="1" minValue="1" maxValue="1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n v="26"/>
    <x v="0"/>
    <x v="0"/>
    <n v="5"/>
  </r>
  <r>
    <x v="1"/>
    <n v="13"/>
    <x v="1"/>
    <x v="1"/>
    <n v="7"/>
  </r>
  <r>
    <x v="2"/>
    <n v="26"/>
    <x v="2"/>
    <x v="2"/>
    <n v="3"/>
  </r>
  <r>
    <x v="3"/>
    <n v="42"/>
    <x v="3"/>
    <x v="3"/>
    <n v="4"/>
  </r>
  <r>
    <x v="4"/>
    <n v="9"/>
    <x v="4"/>
    <x v="4"/>
    <n v="1000"/>
  </r>
  <r>
    <x v="5"/>
    <n v="27"/>
    <x v="5"/>
    <x v="5"/>
    <n v="2"/>
  </r>
  <r>
    <x v="6"/>
    <n v="30"/>
    <x v="6"/>
    <x v="6"/>
    <n v="1"/>
  </r>
  <r>
    <x v="7"/>
    <n v="37"/>
    <x v="7"/>
    <x v="7"/>
    <n v="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3CE3F5-58D8-48A3-B9C6-24D1506C9F5C}" name="PivotTable1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C3:L21" firstHeaderRow="1" firstDataRow="2" firstDataCol="1"/>
  <pivotFields count="5">
    <pivotField axis="axisRow" showAll="0">
      <items count="9">
        <item x="6"/>
        <item x="2"/>
        <item x="0"/>
        <item x="1"/>
        <item x="4"/>
        <item x="3"/>
        <item x="5"/>
        <item x="7"/>
        <item t="default"/>
      </items>
    </pivotField>
    <pivotField dataField="1" showAll="0"/>
    <pivotField axis="axisCol" showAll="0">
      <items count="9">
        <item x="4"/>
        <item x="2"/>
        <item x="1"/>
        <item x="0"/>
        <item x="5"/>
        <item x="3"/>
        <item x="7"/>
        <item x="6"/>
        <item t="default"/>
      </items>
    </pivotField>
    <pivotField axis="axisRow" showAll="0">
      <items count="9">
        <item x="4"/>
        <item x="7"/>
        <item x="1"/>
        <item x="0"/>
        <item x="3"/>
        <item x="2"/>
        <item x="5"/>
        <item x="6"/>
        <item t="default"/>
      </items>
    </pivotField>
    <pivotField showAll="0"/>
  </pivotFields>
  <rowFields count="2">
    <field x="0"/>
    <field x="3"/>
  </rowFields>
  <rowItems count="17">
    <i>
      <x/>
    </i>
    <i r="1">
      <x v="7"/>
    </i>
    <i>
      <x v="1"/>
    </i>
    <i r="1">
      <x v="5"/>
    </i>
    <i>
      <x v="2"/>
    </i>
    <i r="1">
      <x v="3"/>
    </i>
    <i>
      <x v="3"/>
    </i>
    <i r="1">
      <x v="2"/>
    </i>
    <i>
      <x v="4"/>
    </i>
    <i r="1">
      <x/>
    </i>
    <i>
      <x v="5"/>
    </i>
    <i r="1">
      <x v="4"/>
    </i>
    <i>
      <x v="6"/>
    </i>
    <i r="1">
      <x v="6"/>
    </i>
    <i>
      <x v="7"/>
    </i>
    <i r="1">
      <x v="1"/>
    </i>
    <i t="grand">
      <x/>
    </i>
  </rowItems>
  <colFields count="1">
    <field x="2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Sum of Age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C35CC7-7259-4A97-8FEA-EDB47375DF08}" name="Table3" displayName="Table3" ref="C3:J6" totalsRowCount="1" headerRowDxfId="44" dataDxfId="43">
  <autoFilter ref="C3:J5" xr:uid="{09C35CC7-7259-4A97-8FEA-EDB47375DF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4EE018E-238B-42BA-9035-DB01FA5420D3}" name="Name" totalsRowLabel="Total" dataDxfId="42" totalsRowDxfId="41"/>
    <tableColumn id="2" xr3:uid="{C1F6911F-9482-4C98-BBFB-21D9CAA66DA4}" name="Age" totalsRowFunction="sum" dataDxfId="40" totalsRowDxfId="39"/>
    <tableColumn id="5" xr3:uid="{3CE9F5DA-0A57-4696-B4E0-53601C3B7798}" name="Rank" totalsRowFunction="sum" dataDxfId="38" totalsRowDxfId="37"/>
    <tableColumn id="6" xr3:uid="{34912838-665C-4472-B558-25990E5B148D}" name="Rank+Age =E4+D4" totalsRowFunction="sum" dataDxfId="36" totalsRowDxfId="35">
      <calculatedColumnFormula>Table3[[#This Row],[Rank]]+Table3[[#This Row],[Age]]</calculatedColumnFormula>
    </tableColumn>
    <tableColumn id="7" xr3:uid="{89D90022-7073-4067-BAF8-1587D27C4AFB}" name="Data =SUM(E4:E5)" totalsRowFunction="sum" dataDxfId="34" totalsRowDxfId="33">
      <calculatedColumnFormula>SUM(Table3[Rank])</calculatedColumnFormula>
    </tableColumn>
    <tableColumn id="8" xr3:uid="{B2A7E5BB-A379-492B-9484-72F2FD1FF3A0}" name="All =SUM(E3:E6)" totalsRowFunction="sum" dataDxfId="32" totalsRowDxfId="31">
      <calculatedColumnFormula>SUM(Table3[[#All],[Rank]])</calculatedColumnFormula>
    </tableColumn>
    <tableColumn id="9" xr3:uid="{3C532A69-E4BC-4A20-A922-4BCAA0D3FEC9}" name="Totals =E6" totalsRowFunction="sum" dataDxfId="30" totalsRowDxfId="29">
      <calculatedColumnFormula>Table3[[#Totals],[Rank]]</calculatedColumnFormula>
    </tableColumn>
    <tableColumn id="10" xr3:uid="{35E9E9C3-9148-468A-85B6-19290CEB6F00}" name="Headers =E3" totalsRowFunction="sum" dataDxfId="28" totalsRowDxfId="27">
      <calculatedColumnFormula>Table3[[#Headers],[Rank]]</calculatedColumnFormula>
    </tableColumn>
  </tableColumns>
  <tableStyleInfo name="TableStyleLight10" showFirstColumn="1" showLastColumn="1" showRowStripes="0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A9A793C-D406-47FC-B374-E17FAA005021}" name="Table46" displayName="Table46" ref="C14:D15" headerRowCount="0" totalsRowShown="0">
  <tableColumns count="2">
    <tableColumn id="1" xr3:uid="{9DA4206B-5332-4A36-AECA-ABEF4A3E58CA}" name="Column1"/>
    <tableColumn id="2" xr3:uid="{7A08D6A0-2838-4B7D-9F63-13AD252B4EBF}" name="Column2"/>
  </tableColumns>
  <tableStyleInfo name="TableStyleLight8" showFirstColumn="1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2BEB565-9C5F-43C7-BC39-018F61173AC2}" name="Table47" displayName="Table47" ref="C17:D18" headerRowCount="0" totalsRowShown="0">
  <tableColumns count="2">
    <tableColumn id="1" xr3:uid="{3F655F86-F34D-421F-8F9A-3F3A7FA90590}" name="Column1"/>
    <tableColumn id="2" xr3:uid="{C05611C9-566A-4E44-9188-108A54021F05}" name="Column2"/>
  </tableColumns>
  <tableStyleInfo name="TableStyleLight8" showFirstColumn="0" showLastColumn="1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BFAB3E5-AEBB-4FF9-8C56-F7145D0150AD}" name="Table48" displayName="Table48" ref="C20:D21" headerRowCount="0" totalsRowShown="0">
  <tableColumns count="2">
    <tableColumn id="1" xr3:uid="{045C894B-B989-445C-8FDC-C7BF112090F2}" name="Column1"/>
    <tableColumn id="2" xr3:uid="{4BFC501D-2151-4F2C-A880-44D780FCB40E}" name="Column2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9032175-A8A6-4B1D-82EF-3BD382F7F193}" name="Table49" displayName="Table49" ref="C23:D24" headerRowCount="0" totalsRowShown="0">
  <tableColumns count="2">
    <tableColumn id="1" xr3:uid="{BC2A820E-F4AA-4CA5-B00B-F63DC965E4EF}" name="Column1"/>
    <tableColumn id="2" xr3:uid="{FA7609E7-F1B1-4019-9C97-718E4217747A}" name="Column2"/>
  </tableColumns>
  <tableStyleInfo name="TableStyleLight8" showFirstColumn="0" showLastColumn="0" showRowStripes="0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47D120C-F960-41ED-A0C3-F310F57D99C2}" name="Table4910" displayName="Table4910" ref="C26:D28" headerRowCount="0" totalsRowCount="1">
  <tableColumns count="2">
    <tableColumn id="1" xr3:uid="{C558EF6F-4A8A-4E75-AE48-0832E77F3422}" name="Column1" totalsRowLabel="Total"/>
    <tableColumn id="2" xr3:uid="{2F9CCC95-38E6-43F5-951A-64266A55FCDA}" name="Column2" totalsRowFunction="sum"/>
  </tableColumns>
  <tableStyleInfo name="TableStyleLight8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13D7AE2-CB80-4746-9B65-BF65613EDA74}" name="Table12" displayName="Table12" ref="C11:D12" totalsRowShown="0">
  <autoFilter ref="C11:D12" xr:uid="{413D7AE2-CB80-4746-9B65-BF65613EDA74}">
    <filterColumn colId="0" hiddenButton="1"/>
    <filterColumn colId="1" hiddenButton="1"/>
  </autoFilter>
  <tableColumns count="2">
    <tableColumn id="1" xr3:uid="{75C90DD0-4A80-4E17-90AF-D3DA259D38A3}" name="1"/>
    <tableColumn id="2" xr3:uid="{6F2DA426-F50E-4203-9C3B-840E3D8D38D3}" name="2"/>
  </tableColumns>
  <tableStyleInfo name="TableStyleLight8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B189A6-9F7E-4E7E-83B5-963A5FDD68AE}" name="Table4" displayName="Table4" ref="C8:D9" headerRowCount="0" totalsRowShown="0">
  <tableColumns count="2">
    <tableColumn id="1" xr3:uid="{DA72AD8C-55BA-44D5-AEA6-C193A8E0694D}" name="Column1"/>
    <tableColumn id="2" xr3:uid="{928232D6-B349-484D-A3E8-6677F1F297F8}" name="Column2"/>
  </tableColumns>
  <tableStyleInfo name="TableStyleLight8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68A20C-A6A8-45E2-80C6-B5C03052EF88}" name="Table1" displayName="Table1" ref="C30:D32" totalsRowShown="0">
  <autoFilter ref="C30:D32" xr:uid="{4668A20C-A6A8-45E2-80C6-B5C03052EF88}">
    <filterColumn colId="0">
      <filters>
        <filter val="NotHidden"/>
      </filters>
    </filterColumn>
  </autoFilter>
  <tableColumns count="2">
    <tableColumn id="1" xr3:uid="{D5EF05AF-A586-4B3A-9BAE-49775C02A94A}" name="Col1"/>
    <tableColumn id="2" xr3:uid="{29A9CFC8-E79F-4588-9E7D-323996FB2EF6}" name="Col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57E632-0695-4531-8323-5048B676464D}" name="Table2" displayName="Table2" ref="C34:D35" headerRowCount="0" totalsRowShown="0">
  <tableColumns count="2">
    <tableColumn id="1" xr3:uid="{DC5A2AE6-F19E-430A-B1C3-28F7319B94EE}" name="Column1"/>
    <tableColumn id="2" xr3:uid="{2050F373-1538-4D53-8D8B-FBE687F1DDF5}" name="Column2"/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07A681A-7503-48EC-8397-FD5EC6936205}" name="Table10" displayName="Table10" ref="A7:B12" totalsRowShown="0">
  <autoFilter ref="A7:B12" xr:uid="{307A681A-7503-48EC-8397-FD5EC6936205}"/>
  <tableColumns count="2">
    <tableColumn id="1" xr3:uid="{A9A98D4B-2CD7-48DE-837B-A9DEFDC3FF26}" name="Col1"/>
    <tableColumn id="2" xr3:uid="{D53EBDCE-CF57-4D22-AF3A-CB3415AFA96E}" name="Col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doo.com/" TargetMode="External"/><Relationship Id="rId1" Type="http://schemas.openxmlformats.org/officeDocument/2006/relationships/hyperlink" Target="https://github.com/odoo/ow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doo.com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D5EBC-45F5-4C42-AA75-560DF70B9F2E}">
  <sheetPr>
    <tabColor rgb="FF00FF00"/>
  </sheetPr>
  <dimension ref="A1:L35"/>
  <sheetViews>
    <sheetView topLeftCell="A21" workbookViewId="0">
      <selection activeCell="B35" sqref="B35"/>
    </sheetView>
  </sheetViews>
  <sheetFormatPr defaultColWidth="13.85546875" defaultRowHeight="12.75" x14ac:dyDescent="0.2"/>
  <cols>
    <col min="1" max="1" width="22.140625" customWidth="1"/>
    <col min="2" max="2" width="13.85546875" customWidth="1"/>
    <col min="3" max="3" width="13.85546875" bestFit="1" customWidth="1"/>
    <col min="4" max="5" width="14.140625" customWidth="1"/>
    <col min="6" max="26" width="13.85546875" customWidth="1"/>
  </cols>
  <sheetData>
    <row r="1" spans="1:12" ht="38.25" customHeight="1" x14ac:dyDescent="0.2">
      <c r="A1" s="21"/>
      <c r="C1" s="1" t="s">
        <v>0</v>
      </c>
      <c r="G1" s="109" t="s">
        <v>1</v>
      </c>
    </row>
    <row r="2" spans="1:12" ht="27.75" x14ac:dyDescent="0.2">
      <c r="B2" s="22" t="s">
        <v>2</v>
      </c>
      <c r="F2" s="2" t="s">
        <v>3</v>
      </c>
      <c r="G2" s="109">
        <v>5</v>
      </c>
      <c r="H2" s="110" t="s">
        <v>4</v>
      </c>
      <c r="I2" s="111"/>
      <c r="K2" s="3"/>
    </row>
    <row r="3" spans="1:12" ht="17.25" customHeight="1" x14ac:dyDescent="0.2">
      <c r="F3" s="4" t="s">
        <v>5</v>
      </c>
      <c r="G3" s="109">
        <v>8</v>
      </c>
      <c r="H3" s="111"/>
      <c r="I3" s="111"/>
      <c r="J3" s="5"/>
      <c r="K3" s="112">
        <v>5</v>
      </c>
      <c r="L3" s="6"/>
    </row>
    <row r="4" spans="1:12" ht="17.25" customHeight="1" x14ac:dyDescent="0.2">
      <c r="B4" s="7" t="s">
        <v>6</v>
      </c>
      <c r="C4" s="109">
        <v>12.4</v>
      </c>
      <c r="F4" s="8" t="s">
        <v>7</v>
      </c>
      <c r="G4" s="109">
        <v>9</v>
      </c>
      <c r="H4" s="111"/>
      <c r="I4" s="111"/>
      <c r="J4" s="5"/>
      <c r="K4" s="113"/>
      <c r="L4" s="6"/>
    </row>
    <row r="5" spans="1:12" ht="17.25" customHeight="1" x14ac:dyDescent="0.2">
      <c r="C5" s="109">
        <v>42</v>
      </c>
      <c r="G5" s="109">
        <v>15</v>
      </c>
      <c r="H5" s="111"/>
      <c r="I5" s="111"/>
      <c r="J5" s="5"/>
      <c r="K5" s="113"/>
      <c r="L5" s="6"/>
    </row>
    <row r="6" spans="1:12" ht="17.25" customHeight="1" x14ac:dyDescent="0.2">
      <c r="G6" s="109">
        <v>22</v>
      </c>
      <c r="J6" s="5"/>
      <c r="K6" s="113"/>
      <c r="L6" s="6"/>
    </row>
    <row r="7" spans="1:12" ht="17.25" customHeight="1" x14ac:dyDescent="0.2">
      <c r="C7" s="109">
        <v>3</v>
      </c>
      <c r="J7" s="5"/>
      <c r="K7" s="113"/>
      <c r="L7" s="6"/>
    </row>
    <row r="8" spans="1:12" ht="17.25" customHeight="1" x14ac:dyDescent="0.2">
      <c r="G8" s="109">
        <v>30</v>
      </c>
      <c r="J8" s="5"/>
      <c r="K8" s="114"/>
      <c r="L8" s="6"/>
    </row>
    <row r="9" spans="1:12" ht="17.25" customHeight="1" x14ac:dyDescent="0.2">
      <c r="B9" s="9" t="s">
        <v>8</v>
      </c>
      <c r="C9" s="109">
        <f>SUM(C4:C5)</f>
        <v>54.4</v>
      </c>
      <c r="K9" s="10"/>
    </row>
    <row r="10" spans="1:12" ht="17.25" customHeight="1" x14ac:dyDescent="0.2">
      <c r="C10" s="109">
        <f>SUM(C4:C7)</f>
        <v>57.4</v>
      </c>
      <c r="D10" s="109" t="s">
        <v>9</v>
      </c>
    </row>
    <row r="11" spans="1:12" ht="17.25" customHeight="1" x14ac:dyDescent="0.2">
      <c r="C11" s="109">
        <f>-(3+C7*SUM(C4:C7))</f>
        <v>-175.2</v>
      </c>
    </row>
    <row r="12" spans="1:12" ht="17.25" customHeight="1" x14ac:dyDescent="0.2">
      <c r="C12" s="109">
        <f>SUM(C9:C11)</f>
        <v>-63.399999999999991</v>
      </c>
      <c r="D12" s="109" t="s">
        <v>10</v>
      </c>
    </row>
    <row r="13" spans="1:12" ht="17.25" customHeight="1" x14ac:dyDescent="0.2">
      <c r="G13" s="109">
        <f>A1+A2+A3+A4+A5+A6+A7+A8+A9+A10+A11+A12+A13+A14+A15+A16+A17+A18</f>
        <v>0</v>
      </c>
    </row>
    <row r="14" spans="1:12" ht="17.25" customHeight="1" x14ac:dyDescent="0.2">
      <c r="B14" s="11" t="s">
        <v>11</v>
      </c>
      <c r="C14" s="109" t="str">
        <f ca="1">C14</f>
        <v>#CYCLE</v>
      </c>
    </row>
    <row r="15" spans="1:12" ht="17.25" customHeight="1" x14ac:dyDescent="0.2">
      <c r="C15" s="109" t="s">
        <v>12</v>
      </c>
    </row>
    <row r="16" spans="1:12" ht="17.25" customHeight="1" x14ac:dyDescent="0.2">
      <c r="C16" s="109" t="str">
        <f>C15</f>
        <v>=(+</v>
      </c>
    </row>
    <row r="17" spans="1:9" ht="17.25" customHeight="1" x14ac:dyDescent="0.2">
      <c r="C17" s="109" t="s">
        <v>13</v>
      </c>
    </row>
    <row r="18" spans="1:9" ht="17.25" customHeight="1" x14ac:dyDescent="0.2">
      <c r="C18" s="109" t="s">
        <v>14</v>
      </c>
    </row>
    <row r="19" spans="1:9" ht="17.25" customHeight="1" x14ac:dyDescent="0.2">
      <c r="E19" s="3"/>
      <c r="G19" s="3"/>
    </row>
    <row r="20" spans="1:9" ht="17.25" customHeight="1" x14ac:dyDescent="0.2">
      <c r="B20" s="5"/>
      <c r="C20" s="6" t="s">
        <v>15</v>
      </c>
      <c r="E20" s="10" t="s">
        <v>16</v>
      </c>
      <c r="F20" s="5"/>
      <c r="G20" s="12" t="s">
        <v>17</v>
      </c>
      <c r="H20" s="6"/>
    </row>
    <row r="21" spans="1:9" ht="17.25" customHeight="1" x14ac:dyDescent="0.2">
      <c r="A21" s="13" t="s">
        <v>18</v>
      </c>
      <c r="B21" s="14">
        <f>jestCharts!B2</f>
        <v>0</v>
      </c>
      <c r="G21" s="10"/>
    </row>
    <row r="23" spans="1:9" ht="17.25" customHeight="1" x14ac:dyDescent="0.2">
      <c r="A23" s="13" t="s">
        <v>19</v>
      </c>
      <c r="C23" s="15">
        <v>0.43</v>
      </c>
      <c r="H23" s="109">
        <v>0</v>
      </c>
      <c r="I23" s="109">
        <v>0</v>
      </c>
    </row>
    <row r="24" spans="1:9" ht="17.25" customHeight="1" x14ac:dyDescent="0.2">
      <c r="C24" s="16">
        <v>10</v>
      </c>
      <c r="H24" s="109">
        <v>1</v>
      </c>
      <c r="I24" s="109">
        <v>1</v>
      </c>
    </row>
    <row r="25" spans="1:9" ht="17.25" customHeight="1" x14ac:dyDescent="0.2">
      <c r="C25" s="16">
        <v>10.122999999999999</v>
      </c>
      <c r="H25" s="109">
        <v>2</v>
      </c>
      <c r="I25" s="109">
        <v>2</v>
      </c>
    </row>
    <row r="26" spans="1:9" ht="17.25" customHeight="1" x14ac:dyDescent="0.2">
      <c r="B26" s="109" t="s">
        <v>20</v>
      </c>
      <c r="C26" s="109" t="s">
        <v>21</v>
      </c>
      <c r="H26" s="109">
        <v>3</v>
      </c>
      <c r="I26" s="109">
        <v>3</v>
      </c>
    </row>
    <row r="27" spans="1:9" ht="17.25" customHeight="1" x14ac:dyDescent="0.2">
      <c r="A27" s="109" t="s">
        <v>22</v>
      </c>
      <c r="B27" s="109">
        <v>12</v>
      </c>
      <c r="C27" s="109">
        <v>24</v>
      </c>
      <c r="H27" s="109">
        <v>4</v>
      </c>
      <c r="I27" s="109">
        <v>4</v>
      </c>
    </row>
    <row r="28" spans="1:9" ht="17.25" customHeight="1" x14ac:dyDescent="0.2">
      <c r="A28" s="109" t="s">
        <v>23</v>
      </c>
      <c r="B28" s="109">
        <v>48</v>
      </c>
      <c r="C28" s="109">
        <v>12</v>
      </c>
      <c r="H28" s="109">
        <v>5</v>
      </c>
      <c r="I28" s="109">
        <v>5</v>
      </c>
    </row>
    <row r="29" spans="1:9" ht="17.25" customHeight="1" x14ac:dyDescent="0.2">
      <c r="A29" s="109" t="s">
        <v>24</v>
      </c>
      <c r="B29" s="109">
        <v>45</v>
      </c>
      <c r="C29" s="109">
        <v>27</v>
      </c>
      <c r="H29" s="109">
        <v>6</v>
      </c>
      <c r="I29" s="109">
        <v>4</v>
      </c>
    </row>
    <row r="30" spans="1:9" ht="17.25" customHeight="1" x14ac:dyDescent="0.2">
      <c r="A30" s="109" t="s">
        <v>25</v>
      </c>
      <c r="B30" s="109">
        <v>1</v>
      </c>
      <c r="C30" s="109">
        <v>9</v>
      </c>
      <c r="H30" s="109">
        <v>7</v>
      </c>
      <c r="I30" s="109">
        <v>3</v>
      </c>
    </row>
    <row r="31" spans="1:9" ht="17.25" customHeight="1" x14ac:dyDescent="0.2">
      <c r="A31" s="109" t="s">
        <v>26</v>
      </c>
      <c r="B31" s="109">
        <v>25</v>
      </c>
      <c r="C31" s="109">
        <v>45</v>
      </c>
      <c r="H31" s="109">
        <v>8</v>
      </c>
      <c r="I31" s="109">
        <v>2</v>
      </c>
    </row>
    <row r="32" spans="1:9" ht="17.25" customHeight="1" x14ac:dyDescent="0.2">
      <c r="A32" s="109" t="s">
        <v>27</v>
      </c>
      <c r="B32" s="109">
        <v>31</v>
      </c>
      <c r="C32" s="109">
        <v>17</v>
      </c>
      <c r="H32" s="109">
        <v>9</v>
      </c>
      <c r="I32" s="109">
        <v>1</v>
      </c>
    </row>
    <row r="33" spans="1:9" ht="17.25" customHeight="1" x14ac:dyDescent="0.2">
      <c r="A33" s="109" t="s">
        <v>28</v>
      </c>
      <c r="B33" s="109">
        <v>20</v>
      </c>
      <c r="C33" s="109">
        <v>43</v>
      </c>
      <c r="H33" s="109">
        <v>10</v>
      </c>
      <c r="I33" s="109">
        <v>0</v>
      </c>
    </row>
    <row r="34" spans="1:9" ht="17.25" customHeight="1" x14ac:dyDescent="0.2">
      <c r="A34" s="109" t="s">
        <v>29</v>
      </c>
      <c r="B34" s="109">
        <v>19</v>
      </c>
      <c r="C34" s="109">
        <v>11</v>
      </c>
    </row>
    <row r="35" spans="1:9" ht="17.25" customHeight="1" x14ac:dyDescent="0.2">
      <c r="A35" s="109" t="s">
        <v>30</v>
      </c>
      <c r="B35" s="109">
        <v>16</v>
      </c>
      <c r="C35" s="109">
        <v>16</v>
      </c>
    </row>
  </sheetData>
  <mergeCells count="2">
    <mergeCell ref="H2:I5"/>
    <mergeCell ref="K3:K8"/>
  </mergeCells>
  <conditionalFormatting sqref="C1:C100 B21">
    <cfRule type="cellIs" dxfId="26" priority="1" operator="equal">
      <formula>42</formula>
    </cfRule>
  </conditionalFormatting>
  <conditionalFormatting sqref="G1:G100">
    <cfRule type="colorScale" priority="2">
      <colorScale>
        <cfvo type="min"/>
        <cfvo type="max"/>
        <color rgb="FFFFFFFF"/>
        <color rgb="FFFF0000"/>
      </colorScale>
    </cfRule>
  </conditionalFormatting>
  <conditionalFormatting sqref="H23:H33">
    <cfRule type="iconSet" priority="3">
      <iconSet iconSet="3Arrows">
        <cfvo type="percent" val="0"/>
        <cfvo type="percent" val="33" gte="0"/>
        <cfvo type="percent" val="66" gte="0"/>
      </iconSet>
    </cfRule>
  </conditionalFormatting>
  <conditionalFormatting sqref="I23:I33">
    <cfRule type="iconSet" priority="4">
      <iconSet iconSet="3Symbols">
        <cfvo type="percent" val="0"/>
        <cfvo type="num" val="2"/>
        <cfvo type="num" val="4"/>
      </iconSet>
    </cfRule>
  </conditionalFormatting>
  <hyperlinks>
    <hyperlink ref="A21" location="Sheet2!A1" display="Sheet2 =&gt; B2:" xr:uid="{00000000-0004-0000-0000-000000000000}"/>
    <hyperlink ref="B2" r:id="rId1" xr:uid="{00000000-0004-0000-0000-000001000000}"/>
    <hyperlink ref="A23" r:id="rId2" xr:uid="{00000000-0004-0000-0000-000002000000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FA18-71FC-4ACD-8379-39A3603D1DD6}">
  <sheetPr>
    <tabColor theme="9"/>
  </sheetPr>
  <dimension ref="A1:R163"/>
  <sheetViews>
    <sheetView topLeftCell="A97" workbookViewId="0">
      <selection activeCell="G115" sqref="G115"/>
    </sheetView>
  </sheetViews>
  <sheetFormatPr defaultColWidth="13.85546875" defaultRowHeight="12.75" x14ac:dyDescent="0.2"/>
  <cols>
    <col min="1" max="26" width="13.85546875" customWidth="1"/>
  </cols>
  <sheetData>
    <row r="1" spans="1:18" ht="17.25" customHeight="1" x14ac:dyDescent="0.2">
      <c r="A1" s="109" t="s">
        <v>31</v>
      </c>
      <c r="B1" s="109" t="s">
        <v>32</v>
      </c>
      <c r="C1" s="109" t="s">
        <v>33</v>
      </c>
      <c r="D1" s="109" t="s">
        <v>34</v>
      </c>
      <c r="G1" s="17" t="s">
        <v>35</v>
      </c>
      <c r="H1" s="17" t="s">
        <v>36</v>
      </c>
      <c r="I1" s="17" t="s">
        <v>37</v>
      </c>
      <c r="J1" s="17" t="s">
        <v>38</v>
      </c>
      <c r="K1" s="17" t="s">
        <v>39</v>
      </c>
      <c r="N1" s="109">
        <v>0.1</v>
      </c>
      <c r="P1" s="17" t="s">
        <v>40</v>
      </c>
    </row>
    <row r="2" spans="1:18" ht="17.25" customHeight="1" x14ac:dyDescent="0.2">
      <c r="A2" s="109" t="s">
        <v>41</v>
      </c>
      <c r="B2" s="109">
        <f>ABS(-5.5)</f>
        <v>5.5</v>
      </c>
      <c r="C2" s="109">
        <v>5.5</v>
      </c>
      <c r="D2" s="109">
        <f t="shared" ref="D2:D33" si="0">IF(B2=C2,1,0)</f>
        <v>1</v>
      </c>
      <c r="G2" s="109" t="s">
        <v>42</v>
      </c>
      <c r="H2" s="109">
        <v>26</v>
      </c>
      <c r="I2" s="109">
        <v>1204.7</v>
      </c>
      <c r="J2" s="109">
        <v>25618</v>
      </c>
      <c r="K2" s="109">
        <v>5</v>
      </c>
      <c r="N2" s="109">
        <v>0.2</v>
      </c>
      <c r="P2">
        <f>SUM(H2, I$2)</f>
        <v>1230.7</v>
      </c>
      <c r="Q2">
        <f>SUM(H2, $I2)</f>
        <v>1230.7</v>
      </c>
      <c r="R2">
        <f>SUM(H2, $I$2)</f>
        <v>1230.7</v>
      </c>
    </row>
    <row r="3" spans="1:18" ht="17.25" customHeight="1" x14ac:dyDescent="0.2">
      <c r="A3" s="109" t="s">
        <v>43</v>
      </c>
      <c r="B3" s="109">
        <f>ACOS(1)</f>
        <v>0</v>
      </c>
      <c r="C3" s="109">
        <v>0</v>
      </c>
      <c r="D3" s="109">
        <f t="shared" si="0"/>
        <v>1</v>
      </c>
      <c r="G3" s="109" t="s">
        <v>44</v>
      </c>
      <c r="H3" s="109">
        <v>13</v>
      </c>
      <c r="I3" s="109">
        <v>500.9</v>
      </c>
      <c r="J3" s="109">
        <v>23000</v>
      </c>
      <c r="K3" s="109">
        <v>7</v>
      </c>
      <c r="N3" s="109">
        <v>0.4</v>
      </c>
      <c r="P3">
        <f t="shared" ref="P3:P6" si="1">SUM(H3, I$2)</f>
        <v>1217.7</v>
      </c>
      <c r="Q3">
        <f t="shared" ref="Q3:Q6" si="2">SUM(H3, $I3)</f>
        <v>513.9</v>
      </c>
      <c r="R3">
        <f t="shared" ref="R3:R6" si="3">SUM(H3, $I$2)</f>
        <v>1217.7</v>
      </c>
    </row>
    <row r="4" spans="1:18" ht="17.25" customHeight="1" x14ac:dyDescent="0.2">
      <c r="A4" s="109" t="s">
        <v>45</v>
      </c>
      <c r="B4" s="109">
        <f>ROUND(ACOSH(2),5)</f>
        <v>1.3169599999999999</v>
      </c>
      <c r="C4" s="109">
        <v>1.3169599999999999</v>
      </c>
      <c r="D4" s="109">
        <f t="shared" si="0"/>
        <v>1</v>
      </c>
      <c r="G4" s="109" t="s">
        <v>46</v>
      </c>
      <c r="H4" s="109">
        <v>26</v>
      </c>
      <c r="I4" s="109">
        <v>252.4</v>
      </c>
      <c r="J4" s="109">
        <v>110120.5</v>
      </c>
      <c r="K4" s="109">
        <v>3</v>
      </c>
      <c r="N4" s="109">
        <v>0.5</v>
      </c>
      <c r="P4">
        <f t="shared" si="1"/>
        <v>1230.7</v>
      </c>
      <c r="Q4">
        <f t="shared" si="2"/>
        <v>278.39999999999998</v>
      </c>
      <c r="R4">
        <f t="shared" si="3"/>
        <v>1230.7</v>
      </c>
    </row>
    <row r="5" spans="1:18" ht="17.25" customHeight="1" x14ac:dyDescent="0.2">
      <c r="A5" s="109" t="s">
        <v>47</v>
      </c>
      <c r="B5" s="109">
        <f>ROUND(_xlfn.ACOT(1),5)</f>
        <v>0.78539999999999999</v>
      </c>
      <c r="C5" s="109">
        <v>0.78539999999999999</v>
      </c>
      <c r="D5" s="109">
        <f t="shared" si="0"/>
        <v>1</v>
      </c>
      <c r="G5" s="109" t="s">
        <v>48</v>
      </c>
      <c r="H5" s="109">
        <v>42</v>
      </c>
      <c r="I5" s="109">
        <v>4701.3</v>
      </c>
      <c r="J5" s="109">
        <v>50024</v>
      </c>
      <c r="K5" s="109">
        <v>4</v>
      </c>
      <c r="N5" s="109">
        <v>0.6</v>
      </c>
      <c r="P5">
        <f t="shared" si="1"/>
        <v>1246.7</v>
      </c>
      <c r="Q5">
        <f t="shared" si="2"/>
        <v>4743.3</v>
      </c>
      <c r="R5">
        <f t="shared" si="3"/>
        <v>1246.7</v>
      </c>
    </row>
    <row r="6" spans="1:18" ht="17.25" customHeight="1" x14ac:dyDescent="0.2">
      <c r="A6" s="109" t="s">
        <v>49</v>
      </c>
      <c r="B6" s="109">
        <f>ROUND(_xlfn.ACOTH(2),5)</f>
        <v>0.54930999999999996</v>
      </c>
      <c r="C6" s="109">
        <v>0.54930999999999996</v>
      </c>
      <c r="D6" s="109">
        <f>IF(B6=C6,1,0)</f>
        <v>1</v>
      </c>
      <c r="G6" s="109" t="s">
        <v>50</v>
      </c>
      <c r="H6" s="109">
        <v>9</v>
      </c>
      <c r="I6" s="109">
        <v>12.1</v>
      </c>
      <c r="J6" s="109">
        <v>2</v>
      </c>
      <c r="K6" s="109">
        <v>1000</v>
      </c>
      <c r="N6" s="109" t="s">
        <v>51</v>
      </c>
      <c r="P6">
        <f t="shared" si="1"/>
        <v>1213.7</v>
      </c>
      <c r="Q6">
        <f t="shared" si="2"/>
        <v>21.1</v>
      </c>
      <c r="R6">
        <f t="shared" si="3"/>
        <v>1213.7</v>
      </c>
    </row>
    <row r="7" spans="1:18" ht="17.25" customHeight="1" x14ac:dyDescent="0.2">
      <c r="A7" s="109" t="s">
        <v>52</v>
      </c>
      <c r="B7" s="109" t="b">
        <f>AND(TRUE,TRUE)</f>
        <v>1</v>
      </c>
      <c r="C7" s="109" t="b">
        <v>1</v>
      </c>
      <c r="D7" s="109">
        <f t="shared" si="0"/>
        <v>1</v>
      </c>
      <c r="G7" s="109" t="s">
        <v>53</v>
      </c>
      <c r="H7" s="109">
        <v>27</v>
      </c>
      <c r="I7" s="109">
        <v>4000</v>
      </c>
      <c r="J7" s="109">
        <v>189576</v>
      </c>
      <c r="K7" s="109">
        <v>2</v>
      </c>
      <c r="N7" s="109" t="b">
        <v>1</v>
      </c>
    </row>
    <row r="8" spans="1:18" ht="17.25" customHeight="1" x14ac:dyDescent="0.2">
      <c r="A8" s="109" t="s">
        <v>54</v>
      </c>
      <c r="B8" s="109">
        <f>ROUND(ASIN(0.5),5)</f>
        <v>0.52359999999999995</v>
      </c>
      <c r="C8" s="109">
        <v>0.52359999999999995</v>
      </c>
      <c r="D8" s="109">
        <f t="shared" si="0"/>
        <v>1</v>
      </c>
      <c r="G8" s="109" t="s">
        <v>55</v>
      </c>
      <c r="H8" s="109">
        <v>30</v>
      </c>
      <c r="I8" s="109">
        <v>12052</v>
      </c>
      <c r="J8" s="109">
        <v>256018</v>
      </c>
      <c r="K8" s="109">
        <v>1</v>
      </c>
      <c r="N8" s="109" t="b">
        <v>0</v>
      </c>
    </row>
    <row r="9" spans="1:18" ht="17.25" customHeight="1" x14ac:dyDescent="0.2">
      <c r="A9" s="109" t="s">
        <v>56</v>
      </c>
      <c r="B9" s="109">
        <f>ROUND(ASINH(2),5)</f>
        <v>1.44364</v>
      </c>
      <c r="C9" s="109">
        <v>1.44364</v>
      </c>
      <c r="D9" s="109">
        <f t="shared" si="0"/>
        <v>1</v>
      </c>
      <c r="G9" s="109" t="s">
        <v>57</v>
      </c>
      <c r="H9" s="109">
        <v>37</v>
      </c>
      <c r="I9" s="109">
        <v>4890.1000000000004</v>
      </c>
      <c r="J9" s="109">
        <v>5000</v>
      </c>
      <c r="K9" s="109">
        <v>30</v>
      </c>
    </row>
    <row r="10" spans="1:18" ht="17.25" customHeight="1" x14ac:dyDescent="0.2">
      <c r="A10" s="109" t="s">
        <v>58</v>
      </c>
      <c r="B10" s="109">
        <f>ROUND(ATAN(1),5)</f>
        <v>0.78539999999999999</v>
      </c>
      <c r="C10" s="109">
        <v>0.78539999999999999</v>
      </c>
      <c r="D10" s="109">
        <f t="shared" si="0"/>
        <v>1</v>
      </c>
    </row>
    <row r="11" spans="1:18" ht="17.25" customHeight="1" x14ac:dyDescent="0.2">
      <c r="A11" s="109" t="s">
        <v>59</v>
      </c>
      <c r="B11" s="109">
        <f>ROUND(ATAN2(-1,0),5)</f>
        <v>3.1415899999999999</v>
      </c>
      <c r="C11" s="109">
        <v>3.1415899999999999</v>
      </c>
      <c r="D11" s="109">
        <f t="shared" si="0"/>
        <v>1</v>
      </c>
      <c r="G11" s="109" t="s">
        <v>60</v>
      </c>
    </row>
    <row r="12" spans="1:18" ht="17.25" customHeight="1" x14ac:dyDescent="0.2">
      <c r="A12" s="109" t="s">
        <v>61</v>
      </c>
      <c r="B12" s="109">
        <f>ROUND(ATANH(0.7),5)</f>
        <v>0.86729999999999996</v>
      </c>
      <c r="C12" s="109">
        <v>0.86729999999999996</v>
      </c>
      <c r="D12" s="109">
        <f t="shared" si="0"/>
        <v>1</v>
      </c>
      <c r="G12" s="17" t="s">
        <v>35</v>
      </c>
      <c r="H12" s="17" t="s">
        <v>36</v>
      </c>
      <c r="I12" s="17" t="s">
        <v>37</v>
      </c>
      <c r="J12" s="17" t="s">
        <v>38</v>
      </c>
      <c r="K12" s="17" t="s">
        <v>39</v>
      </c>
    </row>
    <row r="13" spans="1:18" ht="17.25" customHeight="1" x14ac:dyDescent="0.2">
      <c r="A13" s="109" t="s">
        <v>62</v>
      </c>
      <c r="B13" s="109">
        <f>ROUND(AVEDEV(I2:I9),5)</f>
        <v>2959.1624999999999</v>
      </c>
      <c r="C13" s="109">
        <v>2959.1624999999999</v>
      </c>
      <c r="D13" s="109">
        <f t="shared" si="0"/>
        <v>1</v>
      </c>
      <c r="G13" s="109" t="s">
        <v>46</v>
      </c>
      <c r="H13" s="109" t="s">
        <v>63</v>
      </c>
      <c r="I13" s="109" t="s">
        <v>64</v>
      </c>
      <c r="J13" s="109" t="s">
        <v>65</v>
      </c>
      <c r="K13" s="109" t="s">
        <v>66</v>
      </c>
    </row>
    <row r="14" spans="1:18" ht="17.25" customHeight="1" x14ac:dyDescent="0.2">
      <c r="A14" s="109" t="s">
        <v>67</v>
      </c>
      <c r="B14" s="109">
        <f>ROUND(AVERAGE(H2:H9),5)</f>
        <v>26.25</v>
      </c>
      <c r="C14" s="109">
        <v>26.25</v>
      </c>
      <c r="D14" s="109">
        <f t="shared" si="0"/>
        <v>1</v>
      </c>
    </row>
    <row r="15" spans="1:18" ht="17.25" customHeight="1" x14ac:dyDescent="0.2">
      <c r="A15" s="109" t="s">
        <v>68</v>
      </c>
      <c r="B15" s="109">
        <f>AVERAGEA(G2:H9)</f>
        <v>13.125</v>
      </c>
      <c r="C15" s="109">
        <v>13.125</v>
      </c>
      <c r="D15" s="109">
        <f t="shared" si="0"/>
        <v>1</v>
      </c>
    </row>
    <row r="16" spans="1:18" ht="17.25" customHeight="1" x14ac:dyDescent="0.2">
      <c r="A16" s="109" t="s">
        <v>69</v>
      </c>
      <c r="B16" s="109">
        <f>ROUND(AVERAGEIF(J2:J9,"&gt;150000"),5)</f>
        <v>222797</v>
      </c>
      <c r="C16" s="109">
        <v>222797</v>
      </c>
      <c r="D16" s="109">
        <f t="shared" si="0"/>
        <v>1</v>
      </c>
    </row>
    <row r="17" spans="1:4" ht="17.25" customHeight="1" x14ac:dyDescent="0.2">
      <c r="A17" s="109" t="s">
        <v>70</v>
      </c>
      <c r="B17" s="109">
        <f>ROUND(AVERAGEIFS(I2:I9,H2:H9,"&gt;=30",K2:K9,"&lt;10"),5)</f>
        <v>8376.65</v>
      </c>
      <c r="C17" s="109">
        <v>8376.65</v>
      </c>
      <c r="D17" s="109">
        <f t="shared" si="0"/>
        <v>1</v>
      </c>
    </row>
    <row r="18" spans="1:4" ht="17.25" customHeight="1" x14ac:dyDescent="0.2">
      <c r="A18" s="109" t="s">
        <v>71</v>
      </c>
      <c r="B18" s="109">
        <f>CEILING(20.4,1)</f>
        <v>21</v>
      </c>
      <c r="C18" s="109">
        <v>21</v>
      </c>
      <c r="D18" s="109">
        <f t="shared" si="0"/>
        <v>1</v>
      </c>
    </row>
    <row r="19" spans="1:4" ht="17.25" customHeight="1" x14ac:dyDescent="0.2">
      <c r="A19" s="109" t="s">
        <v>72</v>
      </c>
      <c r="B19" s="109">
        <f>_xlfn.CEILING.MATH(-5.5,1,0)</f>
        <v>-5</v>
      </c>
      <c r="C19" s="109">
        <v>-5</v>
      </c>
      <c r="D19" s="109">
        <f t="shared" si="0"/>
        <v>1</v>
      </c>
    </row>
    <row r="20" spans="1:4" ht="17.25" customHeight="1" x14ac:dyDescent="0.2">
      <c r="A20" s="109" t="s">
        <v>73</v>
      </c>
      <c r="B20" s="109">
        <f>_xlfn.CEILING.PRECISE(230,100)</f>
        <v>300</v>
      </c>
      <c r="C20" s="109">
        <v>300</v>
      </c>
      <c r="D20" s="109">
        <f t="shared" si="0"/>
        <v>1</v>
      </c>
    </row>
    <row r="21" spans="1:4" ht="17.25" customHeight="1" x14ac:dyDescent="0.2">
      <c r="A21" s="109" t="s">
        <v>74</v>
      </c>
      <c r="B21" s="109" t="str">
        <f>CHAR(74)</f>
        <v>J</v>
      </c>
      <c r="C21" s="109" t="s">
        <v>75</v>
      </c>
      <c r="D21" s="109">
        <f t="shared" si="0"/>
        <v>1</v>
      </c>
    </row>
    <row r="22" spans="1:4" ht="17.25" customHeight="1" x14ac:dyDescent="0.2">
      <c r="A22" s="109" t="s">
        <v>76</v>
      </c>
      <c r="B22" s="109">
        <f>COLUMN(C4)</f>
        <v>3</v>
      </c>
      <c r="C22" s="109">
        <v>3</v>
      </c>
      <c r="D22" s="109">
        <f t="shared" si="0"/>
        <v>1</v>
      </c>
    </row>
    <row r="23" spans="1:4" ht="17.25" customHeight="1" x14ac:dyDescent="0.2">
      <c r="A23" s="109" t="s">
        <v>77</v>
      </c>
      <c r="B23" s="109">
        <f>COLUMNS(A5:D12)</f>
        <v>4</v>
      </c>
      <c r="C23" s="109">
        <v>4</v>
      </c>
      <c r="D23" s="109">
        <f t="shared" si="0"/>
        <v>1</v>
      </c>
    </row>
    <row r="24" spans="1:4" ht="17.25" customHeight="1" x14ac:dyDescent="0.2">
      <c r="A24" s="109" t="s">
        <v>78</v>
      </c>
      <c r="B24" s="109" t="str">
        <f>_xlfn.CONCAT(1,23)</f>
        <v>123</v>
      </c>
      <c r="C24" s="109" t="str">
        <f>"123"</f>
        <v>123</v>
      </c>
      <c r="D24" s="109">
        <f t="shared" si="0"/>
        <v>1</v>
      </c>
    </row>
    <row r="25" spans="1:4" ht="17.25" customHeight="1" x14ac:dyDescent="0.2">
      <c r="A25" s="109" t="s">
        <v>79</v>
      </c>
      <c r="B25" s="109" t="str">
        <f>CONCATENATE("BUT, ","MICHEL")</f>
        <v>BUT, MICHEL</v>
      </c>
      <c r="C25" s="109" t="s">
        <v>80</v>
      </c>
      <c r="D25" s="109">
        <f t="shared" si="0"/>
        <v>1</v>
      </c>
    </row>
    <row r="26" spans="1:4" ht="17.25" customHeight="1" x14ac:dyDescent="0.2">
      <c r="A26" s="109" t="s">
        <v>81</v>
      </c>
      <c r="B26" s="109">
        <f>ROUND(COS(PI()/3),2)</f>
        <v>0.5</v>
      </c>
      <c r="C26" s="109">
        <v>0.5</v>
      </c>
      <c r="D26" s="109">
        <f t="shared" si="0"/>
        <v>1</v>
      </c>
    </row>
    <row r="27" spans="1:4" ht="17.25" customHeight="1" x14ac:dyDescent="0.2">
      <c r="A27" s="109" t="s">
        <v>82</v>
      </c>
      <c r="B27" s="109">
        <f>ROUND(COSH(2),5)</f>
        <v>3.7622</v>
      </c>
      <c r="C27" s="109">
        <v>3.7622</v>
      </c>
      <c r="D27" s="109">
        <f t="shared" si="0"/>
        <v>1</v>
      </c>
    </row>
    <row r="28" spans="1:4" ht="17.25" customHeight="1" x14ac:dyDescent="0.2">
      <c r="A28" s="109" t="s">
        <v>83</v>
      </c>
      <c r="B28" s="109">
        <f>ROUND(_xlfn.COT(PI()/6),5)</f>
        <v>1.7320500000000001</v>
      </c>
      <c r="C28" s="109">
        <f>ROUND(SQRT(3),5)</f>
        <v>1.7320500000000001</v>
      </c>
      <c r="D28" s="109">
        <f t="shared" si="0"/>
        <v>1</v>
      </c>
    </row>
    <row r="29" spans="1:4" ht="17.25" customHeight="1" x14ac:dyDescent="0.2">
      <c r="A29" s="109" t="s">
        <v>84</v>
      </c>
      <c r="B29" s="109">
        <f>ROUND(_xlfn.COTH(0.5),5)</f>
        <v>2.1639499999999998</v>
      </c>
      <c r="C29" s="109">
        <v>2.1639499999999998</v>
      </c>
      <c r="D29" s="109">
        <f t="shared" si="0"/>
        <v>1</v>
      </c>
    </row>
    <row r="30" spans="1:4" ht="17.25" customHeight="1" x14ac:dyDescent="0.2">
      <c r="A30" s="109" t="s">
        <v>85</v>
      </c>
      <c r="B30" s="109">
        <f>COUNT(1,"a","5","2021-03-14")</f>
        <v>3</v>
      </c>
      <c r="C30" s="109">
        <v>2</v>
      </c>
      <c r="D30" s="109">
        <f t="shared" si="0"/>
        <v>0</v>
      </c>
    </row>
    <row r="31" spans="1:4" ht="17.25" customHeight="1" x14ac:dyDescent="0.2">
      <c r="A31" s="109" t="s">
        <v>86</v>
      </c>
      <c r="B31" s="109">
        <f>COUNTA(1,"a","5","2021-03-14")</f>
        <v>4</v>
      </c>
      <c r="C31" s="109">
        <v>4</v>
      </c>
      <c r="D31" s="109">
        <f t="shared" si="0"/>
        <v>1</v>
      </c>
    </row>
    <row r="32" spans="1:4" ht="17.25" customHeight="1" x14ac:dyDescent="0.2">
      <c r="A32" s="109" t="s">
        <v>87</v>
      </c>
      <c r="B32" s="109">
        <f>COUNTBLANK(F1:G1)</f>
        <v>1</v>
      </c>
      <c r="C32" s="109">
        <v>1</v>
      </c>
      <c r="D32" s="109">
        <f t="shared" si="0"/>
        <v>1</v>
      </c>
    </row>
    <row r="33" spans="1:4" ht="17.25" customHeight="1" x14ac:dyDescent="0.2">
      <c r="A33" s="109" t="s">
        <v>88</v>
      </c>
      <c r="B33" s="109">
        <f>COUNTIF(H2:H9,"&gt;30")</f>
        <v>2</v>
      </c>
      <c r="C33" s="109">
        <v>2</v>
      </c>
      <c r="D33" s="109">
        <f t="shared" si="0"/>
        <v>1</v>
      </c>
    </row>
    <row r="34" spans="1:4" ht="17.25" customHeight="1" x14ac:dyDescent="0.2">
      <c r="A34" s="109" t="s">
        <v>89</v>
      </c>
      <c r="B34" s="109">
        <f>COUNTIFS(H2:H9,"&gt;25",K2:K9,"&lt;4")</f>
        <v>3</v>
      </c>
      <c r="C34" s="109">
        <v>3</v>
      </c>
      <c r="D34" s="109">
        <f t="shared" ref="D34:D65" si="4">IF(B34=C34,1,0)</f>
        <v>1</v>
      </c>
    </row>
    <row r="35" spans="1:4" ht="17.25" customHeight="1" x14ac:dyDescent="0.2">
      <c r="A35" s="109" t="s">
        <v>90</v>
      </c>
      <c r="B35" s="109">
        <f>ROUND(COVAR(H2:H9,K2:K9),5)</f>
        <v>-2119.25</v>
      </c>
      <c r="C35" s="109">
        <v>-2119.25</v>
      </c>
      <c r="D35" s="109">
        <f t="shared" si="4"/>
        <v>1</v>
      </c>
    </row>
    <row r="36" spans="1:4" ht="17.25" customHeight="1" x14ac:dyDescent="0.2">
      <c r="A36" s="109" t="s">
        <v>91</v>
      </c>
      <c r="B36" s="109">
        <f>ROUND(_xlfn.COVARIANCE.P(K2:K9,H2:H9),5)</f>
        <v>-2119.25</v>
      </c>
      <c r="C36" s="109">
        <v>-2119.25</v>
      </c>
      <c r="D36" s="109">
        <f t="shared" si="4"/>
        <v>1</v>
      </c>
    </row>
    <row r="37" spans="1:4" ht="17.25" customHeight="1" x14ac:dyDescent="0.2">
      <c r="A37" s="109" t="s">
        <v>92</v>
      </c>
      <c r="B37" s="109">
        <f>ROUND(_xlfn.COVARIANCE.P(I2:I9,J2:J9),5)</f>
        <v>237217364.71641001</v>
      </c>
      <c r="C37" s="109">
        <v>237217364.71641001</v>
      </c>
      <c r="D37" s="109">
        <f t="shared" si="4"/>
        <v>1</v>
      </c>
    </row>
    <row r="38" spans="1:4" ht="17.25" customHeight="1" x14ac:dyDescent="0.2">
      <c r="A38" s="109" t="s">
        <v>93</v>
      </c>
      <c r="B38" s="109">
        <f>ROUND(_xlfn.CSC(PI()/4),5)</f>
        <v>1.41421</v>
      </c>
      <c r="C38" s="109">
        <f>ROUND(SQRT(2),5)</f>
        <v>1.41421</v>
      </c>
      <c r="D38" s="109">
        <f t="shared" si="4"/>
        <v>1</v>
      </c>
    </row>
    <row r="39" spans="1:4" ht="17.25" customHeight="1" x14ac:dyDescent="0.2">
      <c r="A39" s="109" t="s">
        <v>94</v>
      </c>
      <c r="B39" s="109">
        <f>ROUND(_xlfn.CSCH(PI()/3),5)</f>
        <v>0.80040999999999995</v>
      </c>
      <c r="C39" s="109">
        <v>0.80040999999999995</v>
      </c>
      <c r="D39" s="109">
        <f t="shared" si="4"/>
        <v>1</v>
      </c>
    </row>
    <row r="40" spans="1:4" ht="17.25" customHeight="1" x14ac:dyDescent="0.2">
      <c r="A40" s="109" t="s">
        <v>95</v>
      </c>
      <c r="B40" s="18">
        <f>DATE(2020,5,25)</f>
        <v>43976</v>
      </c>
      <c r="C40" s="18">
        <v>43976</v>
      </c>
      <c r="D40" s="109">
        <f t="shared" si="4"/>
        <v>1</v>
      </c>
    </row>
    <row r="41" spans="1:4" ht="17.25" customHeight="1" x14ac:dyDescent="0.2">
      <c r="A41" s="109" t="s">
        <v>96</v>
      </c>
      <c r="B41" s="109">
        <f>DATEVALUE("1969-08-15")</f>
        <v>25430</v>
      </c>
      <c r="C41" s="109">
        <v>25430</v>
      </c>
      <c r="D41" s="109">
        <f t="shared" si="4"/>
        <v>1</v>
      </c>
    </row>
    <row r="42" spans="1:4" ht="17.25" customHeight="1" x14ac:dyDescent="0.2">
      <c r="A42" s="109" t="s">
        <v>97</v>
      </c>
      <c r="B42" s="109">
        <f>ROUND(DAVERAGE(G1:K9,"Tot. Score",J12:J13),5)</f>
        <v>151434.625</v>
      </c>
      <c r="C42" s="109">
        <v>151434.625</v>
      </c>
      <c r="D42" s="109">
        <f t="shared" si="4"/>
        <v>1</v>
      </c>
    </row>
    <row r="43" spans="1:4" ht="17.25" customHeight="1" x14ac:dyDescent="0.2">
      <c r="A43" s="109" t="s">
        <v>98</v>
      </c>
      <c r="B43" s="109">
        <f>DAY("2020-03-17")</f>
        <v>17</v>
      </c>
      <c r="C43" s="109">
        <v>17</v>
      </c>
      <c r="D43" s="109">
        <f t="shared" si="4"/>
        <v>1</v>
      </c>
    </row>
    <row r="44" spans="1:4" ht="17.25" customHeight="1" x14ac:dyDescent="0.2">
      <c r="A44" s="109" t="s">
        <v>99</v>
      </c>
      <c r="B44" s="109">
        <f>_xlfn.DAYS("2022-03-17","2021-03-17")</f>
        <v>365</v>
      </c>
      <c r="C44" s="109">
        <v>365</v>
      </c>
      <c r="D44" s="109">
        <f t="shared" si="4"/>
        <v>1</v>
      </c>
    </row>
    <row r="45" spans="1:4" ht="17.25" customHeight="1" x14ac:dyDescent="0.2">
      <c r="A45" s="109" t="s">
        <v>100</v>
      </c>
      <c r="B45" s="109">
        <f>DCOUNT(G1:K9,"Name",H12:H13)</f>
        <v>0</v>
      </c>
      <c r="C45" s="109">
        <v>0</v>
      </c>
      <c r="D45" s="109">
        <f t="shared" si="4"/>
        <v>1</v>
      </c>
    </row>
    <row r="46" spans="1:4" ht="17.25" customHeight="1" x14ac:dyDescent="0.2">
      <c r="A46" s="109" t="s">
        <v>101</v>
      </c>
      <c r="B46" s="109">
        <f>DCOUNTA(G1:K9,"Name",H12:H13)</f>
        <v>3</v>
      </c>
      <c r="C46" s="109">
        <v>3</v>
      </c>
      <c r="D46" s="109">
        <f t="shared" si="4"/>
        <v>1</v>
      </c>
    </row>
    <row r="47" spans="1:4" ht="17.25" customHeight="1" x14ac:dyDescent="0.2">
      <c r="A47" s="109" t="s">
        <v>102</v>
      </c>
      <c r="B47" s="109">
        <f>_xlfn.DECIMAL(20,16)</f>
        <v>32</v>
      </c>
      <c r="C47" s="109">
        <v>32</v>
      </c>
      <c r="D47" s="109">
        <f t="shared" si="4"/>
        <v>1</v>
      </c>
    </row>
    <row r="48" spans="1:4" ht="17.25" customHeight="1" x14ac:dyDescent="0.2">
      <c r="A48" s="109" t="s">
        <v>103</v>
      </c>
      <c r="B48" s="109">
        <f>DEGREES(PI()/4)</f>
        <v>45</v>
      </c>
      <c r="C48" s="109">
        <v>45</v>
      </c>
      <c r="D48" s="109">
        <f t="shared" si="4"/>
        <v>1</v>
      </c>
    </row>
    <row r="49" spans="1:4" ht="17.25" customHeight="1" x14ac:dyDescent="0.2">
      <c r="A49" s="109" t="s">
        <v>104</v>
      </c>
      <c r="B49" s="109">
        <f>DGET(G1:K9,"Hours Played",G12:G13)</f>
        <v>252.4</v>
      </c>
      <c r="C49" s="109">
        <v>252.4</v>
      </c>
      <c r="D49" s="109">
        <f t="shared" si="4"/>
        <v>1</v>
      </c>
    </row>
    <row r="50" spans="1:4" ht="17.25" customHeight="1" x14ac:dyDescent="0.2">
      <c r="A50" s="109" t="s">
        <v>105</v>
      </c>
      <c r="B50" s="109">
        <f>DMAX(G1:K9,"Tot. Score",I12:I13)</f>
        <v>189576</v>
      </c>
      <c r="C50" s="109">
        <f>J7</f>
        <v>189576</v>
      </c>
      <c r="D50" s="109">
        <f t="shared" si="4"/>
        <v>1</v>
      </c>
    </row>
    <row r="51" spans="1:4" ht="17.25" customHeight="1" x14ac:dyDescent="0.2">
      <c r="A51" s="109" t="s">
        <v>106</v>
      </c>
      <c r="B51" s="109">
        <f>DMIN(G1:K9,"Tot. Score",H12:H13)</f>
        <v>5000</v>
      </c>
      <c r="C51" s="109">
        <f>J9</f>
        <v>5000</v>
      </c>
      <c r="D51" s="109">
        <f t="shared" si="4"/>
        <v>1</v>
      </c>
    </row>
    <row r="52" spans="1:4" ht="17.25" customHeight="1" x14ac:dyDescent="0.2">
      <c r="A52" s="109" t="s">
        <v>107</v>
      </c>
      <c r="B52" s="109">
        <f>DPRODUCT(G1:K9,"Age",K12:K13)</f>
        <v>333</v>
      </c>
      <c r="C52" s="109">
        <v>333</v>
      </c>
      <c r="D52" s="109">
        <f t="shared" si="4"/>
        <v>1</v>
      </c>
    </row>
    <row r="53" spans="1:4" ht="17.25" customHeight="1" x14ac:dyDescent="0.2">
      <c r="A53" s="109" t="s">
        <v>108</v>
      </c>
      <c r="B53" s="109">
        <f>ROUND(DSTDEV(G1:K9,"Age",H12:H13),5)</f>
        <v>6.0277099999999999</v>
      </c>
      <c r="C53" s="109">
        <v>6.0277099999999999</v>
      </c>
      <c r="D53" s="109">
        <f t="shared" si="4"/>
        <v>1</v>
      </c>
    </row>
    <row r="54" spans="1:4" ht="17.25" customHeight="1" x14ac:dyDescent="0.2">
      <c r="A54" s="109" t="s">
        <v>109</v>
      </c>
      <c r="B54" s="109">
        <f>ROUND(DSTDEVP(G1:K9,"Age",H12:H13),5)</f>
        <v>4.9216100000000003</v>
      </c>
      <c r="C54" s="109">
        <v>4.9216100000000003</v>
      </c>
      <c r="D54" s="109">
        <f t="shared" si="4"/>
        <v>1</v>
      </c>
    </row>
    <row r="55" spans="1:4" ht="17.25" customHeight="1" x14ac:dyDescent="0.2">
      <c r="A55" s="109" t="s">
        <v>110</v>
      </c>
      <c r="B55" s="109">
        <f>DSUM(G1:K9,"Age",I12:I13)</f>
        <v>101</v>
      </c>
      <c r="C55" s="109">
        <v>101</v>
      </c>
      <c r="D55" s="109">
        <f t="shared" si="4"/>
        <v>1</v>
      </c>
    </row>
    <row r="56" spans="1:4" ht="17.25" customHeight="1" x14ac:dyDescent="0.2">
      <c r="A56" s="109" t="s">
        <v>111</v>
      </c>
      <c r="B56" s="109">
        <f>ROUND(DVAR(G1:K9,"Hours Played",H12:H13),5)</f>
        <v>17560207.923330002</v>
      </c>
      <c r="C56" s="109">
        <v>17560207.923330002</v>
      </c>
      <c r="D56" s="109">
        <f t="shared" si="4"/>
        <v>1</v>
      </c>
    </row>
    <row r="57" spans="1:4" ht="17.25" customHeight="1" x14ac:dyDescent="0.2">
      <c r="A57" s="109" t="s">
        <v>112</v>
      </c>
      <c r="B57" s="109">
        <f>ROUND(DVARP(G1:K9,"Hours Played",H12:H13),5)</f>
        <v>11706805.28222</v>
      </c>
      <c r="C57" s="109">
        <v>11706805.28222</v>
      </c>
      <c r="D57" s="109">
        <f t="shared" si="4"/>
        <v>1</v>
      </c>
    </row>
    <row r="58" spans="1:4" ht="17.25" customHeight="1" x14ac:dyDescent="0.2">
      <c r="A58" s="109" t="s">
        <v>113</v>
      </c>
      <c r="B58" s="18">
        <f>EDATE("1969-07-22",-2)</f>
        <v>25345</v>
      </c>
      <c r="C58" s="18">
        <v>25345</v>
      </c>
      <c r="D58" s="109">
        <f t="shared" si="4"/>
        <v>1</v>
      </c>
    </row>
    <row r="59" spans="1:4" ht="17.25" customHeight="1" x14ac:dyDescent="0.2">
      <c r="A59" s="109" t="s">
        <v>114</v>
      </c>
      <c r="B59" s="18">
        <f>EOMONTH("2020-07-21",1)</f>
        <v>44074</v>
      </c>
      <c r="C59" s="18">
        <v>44074</v>
      </c>
      <c r="D59" s="109">
        <f t="shared" si="4"/>
        <v>1</v>
      </c>
    </row>
    <row r="60" spans="1:4" ht="17.25" customHeight="1" x14ac:dyDescent="0.2">
      <c r="A60" s="109" t="s">
        <v>115</v>
      </c>
      <c r="B60" s="109" t="b">
        <f>EXACT("AbsSdf%","AbsSdf%")</f>
        <v>1</v>
      </c>
      <c r="C60" s="109" t="b">
        <v>1</v>
      </c>
      <c r="D60" s="109">
        <f t="shared" si="4"/>
        <v>1</v>
      </c>
    </row>
    <row r="61" spans="1:4" ht="17.25" customHeight="1" x14ac:dyDescent="0.2">
      <c r="A61" s="109" t="s">
        <v>116</v>
      </c>
      <c r="B61" s="109">
        <f>ROUND(EXP(4),5)</f>
        <v>54.598149999999997</v>
      </c>
      <c r="C61" s="109">
        <v>54.598149999999997</v>
      </c>
      <c r="D61" s="109">
        <f t="shared" si="4"/>
        <v>1</v>
      </c>
    </row>
    <row r="62" spans="1:4" ht="17.25" customHeight="1" x14ac:dyDescent="0.2">
      <c r="A62" s="109" t="s">
        <v>117</v>
      </c>
      <c r="B62" s="109">
        <f>FIND("A","qbdahbaazo A")</f>
        <v>12</v>
      </c>
      <c r="C62" s="109">
        <v>12</v>
      </c>
      <c r="D62" s="109">
        <f t="shared" si="4"/>
        <v>1</v>
      </c>
    </row>
    <row r="63" spans="1:4" ht="17.25" customHeight="1" x14ac:dyDescent="0.2">
      <c r="A63" s="109" t="s">
        <v>118</v>
      </c>
      <c r="B63" s="109">
        <f>FLOOR(5.5,2)</f>
        <v>4</v>
      </c>
      <c r="C63" s="109">
        <v>4</v>
      </c>
      <c r="D63" s="109">
        <f t="shared" si="4"/>
        <v>1</v>
      </c>
    </row>
    <row r="64" spans="1:4" ht="17.25" customHeight="1" x14ac:dyDescent="0.2">
      <c r="A64" s="109" t="s">
        <v>119</v>
      </c>
      <c r="B64" s="109">
        <f>_xlfn.FLOOR.MATH(-5.55,2,1)</f>
        <v>-4</v>
      </c>
      <c r="C64" s="109">
        <v>-4</v>
      </c>
      <c r="D64" s="109">
        <f t="shared" si="4"/>
        <v>1</v>
      </c>
    </row>
    <row r="65" spans="1:4" ht="17.25" customHeight="1" x14ac:dyDescent="0.2">
      <c r="A65" s="109" t="s">
        <v>120</v>
      </c>
      <c r="B65" s="109">
        <f>_xlfn.FLOOR.PRECISE(199,100)</f>
        <v>100</v>
      </c>
      <c r="C65" s="109">
        <v>100</v>
      </c>
      <c r="D65" s="109">
        <f t="shared" si="4"/>
        <v>1</v>
      </c>
    </row>
    <row r="66" spans="1:4" ht="17.25" customHeight="1" x14ac:dyDescent="0.2">
      <c r="A66" s="109" t="s">
        <v>121</v>
      </c>
      <c r="B66" s="109">
        <f>HLOOKUP("Tot. Score",H1:K9,4,FALSE)</f>
        <v>110120.5</v>
      </c>
      <c r="C66" s="109">
        <v>110120.5</v>
      </c>
      <c r="D66" s="109">
        <f t="shared" ref="D66:D97" si="5">IF(B66=C66,1,0)</f>
        <v>1</v>
      </c>
    </row>
    <row r="67" spans="1:4" ht="17.25" customHeight="1" x14ac:dyDescent="0.2">
      <c r="A67" s="109" t="s">
        <v>122</v>
      </c>
      <c r="B67" s="109">
        <f>HOUR("02:14:56")</f>
        <v>2</v>
      </c>
      <c r="C67" s="109">
        <v>2</v>
      </c>
      <c r="D67" s="109">
        <f t="shared" si="5"/>
        <v>1</v>
      </c>
    </row>
    <row r="68" spans="1:4" ht="17.25" customHeight="1" x14ac:dyDescent="0.2">
      <c r="A68" s="109" t="s">
        <v>123</v>
      </c>
      <c r="B68" s="109" t="str">
        <f>IF(TRUE,"TABOURET","JAMBON")</f>
        <v>TABOURET</v>
      </c>
      <c r="C68" s="109" t="s">
        <v>124</v>
      </c>
      <c r="D68" s="109">
        <f t="shared" si="5"/>
        <v>1</v>
      </c>
    </row>
    <row r="69" spans="1:4" ht="17.25" customHeight="1" x14ac:dyDescent="0.2">
      <c r="A69" s="109" t="s">
        <v>125</v>
      </c>
      <c r="B69" s="109" t="str">
        <f>IFERROR(0/0,"no diving by zero.")</f>
        <v>no diving by zero.</v>
      </c>
      <c r="C69" s="109" t="s">
        <v>126</v>
      </c>
      <c r="D69" s="109">
        <f t="shared" si="5"/>
        <v>1</v>
      </c>
    </row>
    <row r="70" spans="1:4" ht="17.25" customHeight="1" x14ac:dyDescent="0.2">
      <c r="A70" s="109" t="s">
        <v>127</v>
      </c>
      <c r="B70" s="109" t="str">
        <f>_xlfn.IFS($H2&gt;$H3,"first player is older",$H3&gt;$H2,"second player is older")</f>
        <v>first player is older</v>
      </c>
      <c r="C70" s="109" t="s">
        <v>128</v>
      </c>
      <c r="D70" s="109">
        <f t="shared" si="5"/>
        <v>1</v>
      </c>
    </row>
    <row r="71" spans="1:4" ht="17.25" customHeight="1" x14ac:dyDescent="0.2">
      <c r="A71" s="109" t="s">
        <v>129</v>
      </c>
      <c r="B71" s="109" t="b">
        <f>ISERROR(0/0)</f>
        <v>1</v>
      </c>
      <c r="C71" s="109" t="b">
        <v>1</v>
      </c>
      <c r="D71" s="109">
        <f t="shared" si="5"/>
        <v>1</v>
      </c>
    </row>
    <row r="72" spans="1:4" ht="17.25" customHeight="1" x14ac:dyDescent="0.2">
      <c r="A72" s="109" t="s">
        <v>130</v>
      </c>
      <c r="B72" s="109" t="b">
        <f>ISEVEN(3)</f>
        <v>0</v>
      </c>
      <c r="C72" s="109" t="b">
        <v>0</v>
      </c>
      <c r="D72" s="109">
        <f t="shared" si="5"/>
        <v>1</v>
      </c>
    </row>
    <row r="73" spans="1:4" ht="17.25" customHeight="1" x14ac:dyDescent="0.2">
      <c r="A73" s="109" t="s">
        <v>131</v>
      </c>
      <c r="B73" s="109" t="b">
        <f>ISLOGICAL("TRUE")</f>
        <v>0</v>
      </c>
      <c r="C73" s="109" t="b">
        <v>0</v>
      </c>
      <c r="D73" s="109">
        <f t="shared" si="5"/>
        <v>1</v>
      </c>
    </row>
    <row r="74" spans="1:4" ht="17.25" customHeight="1" x14ac:dyDescent="0.2">
      <c r="A74" s="109" t="s">
        <v>132</v>
      </c>
      <c r="B74" s="109" t="b">
        <f>ISNONTEXT(TRUE)</f>
        <v>1</v>
      </c>
      <c r="C74" s="109" t="b">
        <v>1</v>
      </c>
      <c r="D74" s="109">
        <f t="shared" si="5"/>
        <v>1</v>
      </c>
    </row>
    <row r="75" spans="1:4" ht="17.25" customHeight="1" x14ac:dyDescent="0.2">
      <c r="A75" s="109" t="s">
        <v>133</v>
      </c>
      <c r="B75" s="109" t="b">
        <f>ISNUMBER(1231.5)</f>
        <v>1</v>
      </c>
      <c r="C75" s="109" t="b">
        <v>1</v>
      </c>
      <c r="D75" s="109">
        <f t="shared" si="5"/>
        <v>1</v>
      </c>
    </row>
    <row r="76" spans="1:4" ht="17.25" customHeight="1" x14ac:dyDescent="0.2">
      <c r="A76" s="109" t="s">
        <v>134</v>
      </c>
      <c r="B76" s="109">
        <f>ISO.CEILING(-7.89)</f>
        <v>-7</v>
      </c>
      <c r="C76" s="109">
        <v>-7</v>
      </c>
      <c r="D76" s="109">
        <f t="shared" si="5"/>
        <v>1</v>
      </c>
    </row>
    <row r="77" spans="1:4" ht="17.25" customHeight="1" x14ac:dyDescent="0.2">
      <c r="A77" s="109" t="s">
        <v>135</v>
      </c>
      <c r="B77" s="109" t="b">
        <f>ISODD(4)</f>
        <v>0</v>
      </c>
      <c r="C77" s="109" t="b">
        <v>0</v>
      </c>
      <c r="D77" s="109">
        <f t="shared" si="5"/>
        <v>1</v>
      </c>
    </row>
    <row r="78" spans="1:4" ht="17.25" customHeight="1" x14ac:dyDescent="0.2">
      <c r="A78" s="109" t="s">
        <v>136</v>
      </c>
      <c r="B78" s="109">
        <f>_xlfn.ISOWEEKNUM("2016-01-03")</f>
        <v>53</v>
      </c>
      <c r="C78" s="109">
        <v>53</v>
      </c>
      <c r="D78" s="109">
        <f t="shared" si="5"/>
        <v>1</v>
      </c>
    </row>
    <row r="79" spans="1:4" ht="17.25" customHeight="1" x14ac:dyDescent="0.2">
      <c r="A79" s="109" t="s">
        <v>137</v>
      </c>
      <c r="B79" s="109" t="b">
        <f>ISTEXT("123")</f>
        <v>1</v>
      </c>
      <c r="C79" s="109" t="b">
        <v>1</v>
      </c>
      <c r="D79" s="109">
        <f t="shared" si="5"/>
        <v>1</v>
      </c>
    </row>
    <row r="80" spans="1:4" ht="17.25" customHeight="1" x14ac:dyDescent="0.2">
      <c r="A80" s="109" t="s">
        <v>138</v>
      </c>
      <c r="B80" s="109">
        <f>LARGE(H2:H9,3)</f>
        <v>30</v>
      </c>
      <c r="C80" s="109">
        <v>30</v>
      </c>
      <c r="D80" s="109">
        <f t="shared" si="5"/>
        <v>1</v>
      </c>
    </row>
    <row r="81" spans="1:4" ht="17.25" customHeight="1" x14ac:dyDescent="0.2">
      <c r="A81" s="109" t="s">
        <v>139</v>
      </c>
      <c r="B81" s="109" t="str">
        <f>LEFT("Mich",4)</f>
        <v>Mich</v>
      </c>
      <c r="C81" s="109" t="s">
        <v>140</v>
      </c>
      <c r="D81" s="109">
        <f t="shared" si="5"/>
        <v>1</v>
      </c>
    </row>
    <row r="82" spans="1:4" ht="17.25" customHeight="1" x14ac:dyDescent="0.2">
      <c r="A82" s="109" t="s">
        <v>141</v>
      </c>
      <c r="B82" s="109">
        <f>LEN("anticonstitutionnellement")</f>
        <v>25</v>
      </c>
      <c r="C82" s="109">
        <v>25</v>
      </c>
      <c r="D82" s="109">
        <f t="shared" si="5"/>
        <v>1</v>
      </c>
    </row>
    <row r="83" spans="1:4" ht="17.25" customHeight="1" x14ac:dyDescent="0.2">
      <c r="A83" s="109" t="s">
        <v>142</v>
      </c>
      <c r="B83" s="109">
        <f>ROUND(LN(2),5)</f>
        <v>0.69315000000000004</v>
      </c>
      <c r="C83" s="109">
        <v>0.69315000000000004</v>
      </c>
      <c r="D83" s="109">
        <f t="shared" si="5"/>
        <v>1</v>
      </c>
    </row>
    <row r="84" spans="1:4" ht="17.25" customHeight="1" x14ac:dyDescent="0.2">
      <c r="A84" s="109" t="s">
        <v>143</v>
      </c>
      <c r="B84" s="109">
        <f>LOOKUP(23000,H3:J3,H5:J5)</f>
        <v>50024</v>
      </c>
      <c r="C84" s="109">
        <v>50024</v>
      </c>
      <c r="D84" s="109">
        <f t="shared" si="5"/>
        <v>1</v>
      </c>
    </row>
    <row r="85" spans="1:4" ht="17.25" customHeight="1" x14ac:dyDescent="0.2">
      <c r="A85" s="109" t="s">
        <v>144</v>
      </c>
      <c r="B85" s="109" t="str">
        <f>LOWER("オAドB")</f>
        <v>オaドb</v>
      </c>
      <c r="C85" s="109" t="s">
        <v>145</v>
      </c>
      <c r="D85" s="109">
        <f t="shared" si="5"/>
        <v>1</v>
      </c>
    </row>
    <row r="86" spans="1:4" ht="17.25" customHeight="1" x14ac:dyDescent="0.2">
      <c r="A86" s="109" t="s">
        <v>146</v>
      </c>
      <c r="B86" s="109">
        <f>MATCH(42,H2:H9,0)</f>
        <v>4</v>
      </c>
      <c r="C86" s="109">
        <v>4</v>
      </c>
      <c r="D86" s="109">
        <f t="shared" si="5"/>
        <v>1</v>
      </c>
    </row>
    <row r="87" spans="1:4" ht="17.25" customHeight="1" x14ac:dyDescent="0.2">
      <c r="A87" s="109" t="s">
        <v>147</v>
      </c>
      <c r="B87" s="109">
        <f>MAX(N1:N8)</f>
        <v>0.6</v>
      </c>
      <c r="C87" s="109">
        <v>0.6</v>
      </c>
      <c r="D87" s="109">
        <f t="shared" si="5"/>
        <v>1</v>
      </c>
    </row>
    <row r="88" spans="1:4" ht="17.25" customHeight="1" x14ac:dyDescent="0.2">
      <c r="A88" s="109" t="s">
        <v>148</v>
      </c>
      <c r="B88" s="109">
        <f>MAXA(N1:N8)</f>
        <v>1</v>
      </c>
      <c r="C88" s="109">
        <v>1</v>
      </c>
      <c r="D88" s="109">
        <f t="shared" si="5"/>
        <v>1</v>
      </c>
    </row>
    <row r="89" spans="1:4" ht="17.25" customHeight="1" x14ac:dyDescent="0.2">
      <c r="A89" s="109" t="s">
        <v>149</v>
      </c>
      <c r="B89" s="109">
        <f>_xlfn.MAXIFS(H2:H9,K2:K9,"&lt;20",K2:K9,"&lt;&gt;4")</f>
        <v>30</v>
      </c>
      <c r="C89" s="109">
        <v>30</v>
      </c>
      <c r="D89" s="109">
        <f t="shared" si="5"/>
        <v>1</v>
      </c>
    </row>
    <row r="90" spans="1:4" ht="17.25" customHeight="1" x14ac:dyDescent="0.2">
      <c r="A90" s="109" t="s">
        <v>150</v>
      </c>
      <c r="B90" s="109">
        <f>MEDIAN(-1,6,7,234,163845)</f>
        <v>7</v>
      </c>
      <c r="C90" s="109">
        <v>7</v>
      </c>
      <c r="D90" s="109">
        <f t="shared" si="5"/>
        <v>1</v>
      </c>
    </row>
    <row r="91" spans="1:4" ht="17.25" customHeight="1" x14ac:dyDescent="0.2">
      <c r="A91" s="109" t="s">
        <v>151</v>
      </c>
      <c r="B91" s="109">
        <f>MIN(N1:N8)</f>
        <v>0.1</v>
      </c>
      <c r="C91" s="109">
        <v>0.1</v>
      </c>
      <c r="D91" s="109">
        <f t="shared" si="5"/>
        <v>1</v>
      </c>
    </row>
    <row r="92" spans="1:4" ht="17.25" customHeight="1" x14ac:dyDescent="0.2">
      <c r="A92" s="109" t="s">
        <v>152</v>
      </c>
      <c r="B92" s="109">
        <f>MINA(N1:N8)</f>
        <v>0</v>
      </c>
      <c r="C92" s="109">
        <v>0</v>
      </c>
      <c r="D92" s="109">
        <f t="shared" si="5"/>
        <v>1</v>
      </c>
    </row>
    <row r="93" spans="1:4" ht="17.25" customHeight="1" x14ac:dyDescent="0.2">
      <c r="A93" s="109" t="s">
        <v>153</v>
      </c>
      <c r="B93" s="109">
        <f>_xlfn.MINIFS(J2:J9,H2:H9,"&gt;20")</f>
        <v>5000</v>
      </c>
      <c r="C93" s="109">
        <v>5000</v>
      </c>
      <c r="D93" s="109">
        <f t="shared" si="5"/>
        <v>1</v>
      </c>
    </row>
    <row r="94" spans="1:4" ht="17.25" customHeight="1" x14ac:dyDescent="0.2">
      <c r="A94" s="109" t="s">
        <v>154</v>
      </c>
      <c r="B94" s="109">
        <f>MINUTE(0.126)</f>
        <v>1</v>
      </c>
      <c r="C94" s="109">
        <v>1</v>
      </c>
      <c r="D94" s="109">
        <f t="shared" si="5"/>
        <v>1</v>
      </c>
    </row>
    <row r="95" spans="1:4" ht="17.25" customHeight="1" x14ac:dyDescent="0.2">
      <c r="A95" s="109" t="s">
        <v>155</v>
      </c>
      <c r="B95" s="109">
        <f>MOD(42,12)</f>
        <v>6</v>
      </c>
      <c r="C95" s="109">
        <v>6</v>
      </c>
      <c r="D95" s="109">
        <f t="shared" si="5"/>
        <v>1</v>
      </c>
    </row>
    <row r="96" spans="1:4" ht="17.25" customHeight="1" x14ac:dyDescent="0.2">
      <c r="A96" s="109" t="s">
        <v>156</v>
      </c>
      <c r="B96" s="109">
        <f>MONTH("1954-05-02")</f>
        <v>5</v>
      </c>
      <c r="C96" s="109">
        <v>5</v>
      </c>
      <c r="D96" s="109">
        <f t="shared" si="5"/>
        <v>1</v>
      </c>
    </row>
    <row r="97" spans="1:4" ht="17.25" customHeight="1" x14ac:dyDescent="0.2">
      <c r="A97" s="109" t="s">
        <v>157</v>
      </c>
      <c r="B97" s="109">
        <f>NETWORKDAYS("2013-01-01","2013-02-01")</f>
        <v>24</v>
      </c>
      <c r="C97" s="109">
        <v>24</v>
      </c>
      <c r="D97" s="109">
        <f t="shared" si="5"/>
        <v>1</v>
      </c>
    </row>
    <row r="98" spans="1:4" ht="17.25" customHeight="1" x14ac:dyDescent="0.2">
      <c r="A98" s="109" t="s">
        <v>158</v>
      </c>
      <c r="B98" s="109">
        <f>NETWORKDAYS.INTL("2013-01-01","2013-02-01","0000111")</f>
        <v>19</v>
      </c>
      <c r="C98" s="109">
        <v>19</v>
      </c>
      <c r="D98" s="109">
        <f t="shared" ref="D98:D99" si="6">IF(B98=C98,1,0)</f>
        <v>1</v>
      </c>
    </row>
    <row r="99" spans="1:4" ht="17.25" customHeight="1" x14ac:dyDescent="0.2">
      <c r="A99" s="109" t="s">
        <v>159</v>
      </c>
      <c r="B99" s="109" t="b">
        <f>NOT(FALSE)</f>
        <v>1</v>
      </c>
      <c r="C99" s="109" t="b">
        <v>1</v>
      </c>
      <c r="D99" s="109">
        <f t="shared" si="6"/>
        <v>1</v>
      </c>
    </row>
    <row r="100" spans="1:4" ht="17.25" customHeight="1" x14ac:dyDescent="0.2">
      <c r="A100" s="109" t="s">
        <v>160</v>
      </c>
      <c r="B100" s="19">
        <f ca="1">NOW()</f>
        <v>46323.358679166668</v>
      </c>
      <c r="D100" s="109">
        <f ca="1">IF(ISNUMBER(B100),1,0)</f>
        <v>1</v>
      </c>
    </row>
    <row r="101" spans="1:4" ht="17.25" customHeight="1" x14ac:dyDescent="0.2">
      <c r="A101" s="109" t="s">
        <v>161</v>
      </c>
      <c r="B101" s="109">
        <f>ODD(4)</f>
        <v>5</v>
      </c>
      <c r="C101" s="109">
        <v>5</v>
      </c>
      <c r="D101" s="109">
        <f t="shared" ref="D101:D111" si="7">IF(B101=C101,1,0)</f>
        <v>1</v>
      </c>
    </row>
    <row r="102" spans="1:4" ht="17.25" customHeight="1" x14ac:dyDescent="0.2">
      <c r="A102" s="109" t="s">
        <v>162</v>
      </c>
      <c r="B102" s="109" t="b">
        <f>OR("true",FALSE)</f>
        <v>1</v>
      </c>
      <c r="C102" s="109" t="b">
        <v>1</v>
      </c>
      <c r="D102" s="109">
        <f t="shared" si="7"/>
        <v>1</v>
      </c>
    </row>
    <row r="103" spans="1:4" ht="17.25" customHeight="1" x14ac:dyDescent="0.2">
      <c r="A103" s="109" t="s">
        <v>163</v>
      </c>
      <c r="B103" s="109">
        <f>PERCENTILE(N1:N5,1)</f>
        <v>0.6</v>
      </c>
      <c r="C103" s="109">
        <v>0.6</v>
      </c>
      <c r="D103" s="109">
        <f t="shared" si="7"/>
        <v>1</v>
      </c>
    </row>
    <row r="104" spans="1:4" ht="17.25" customHeight="1" x14ac:dyDescent="0.2">
      <c r="A104" s="109" t="s">
        <v>164</v>
      </c>
      <c r="B104" s="109">
        <f>_xlfn.PERCENTILE.EXC(N1:N5,0.5)</f>
        <v>0.4</v>
      </c>
      <c r="C104" s="109">
        <v>0.4</v>
      </c>
      <c r="D104" s="109">
        <f t="shared" si="7"/>
        <v>1</v>
      </c>
    </row>
    <row r="105" spans="1:4" ht="17.25" customHeight="1" x14ac:dyDescent="0.2">
      <c r="A105" s="109" t="s">
        <v>165</v>
      </c>
      <c r="B105" s="109">
        <f>_xlfn.PERCENTILE.INC(N1:N5,0)</f>
        <v>0.1</v>
      </c>
      <c r="C105" s="109">
        <v>0.1</v>
      </c>
      <c r="D105" s="109">
        <f t="shared" si="7"/>
        <v>1</v>
      </c>
    </row>
    <row r="106" spans="1:4" ht="17.25" customHeight="1" x14ac:dyDescent="0.2">
      <c r="A106" s="109" t="s">
        <v>166</v>
      </c>
      <c r="B106" s="109">
        <f>ROUND(PI(),5)</f>
        <v>3.1415899999999999</v>
      </c>
      <c r="C106" s="109">
        <v>3.1415899999999999</v>
      </c>
      <c r="D106" s="109">
        <f t="shared" si="7"/>
        <v>1</v>
      </c>
    </row>
    <row r="107" spans="1:4" ht="17.25" customHeight="1" x14ac:dyDescent="0.2">
      <c r="A107" s="109" t="s">
        <v>167</v>
      </c>
      <c r="B107" s="109">
        <f>POWER(42,2)</f>
        <v>1764</v>
      </c>
      <c r="C107" s="109">
        <v>1764</v>
      </c>
      <c r="D107" s="109">
        <f t="shared" si="7"/>
        <v>1</v>
      </c>
    </row>
    <row r="108" spans="1:4" ht="17.25" customHeight="1" x14ac:dyDescent="0.2">
      <c r="A108" s="109" t="s">
        <v>168</v>
      </c>
      <c r="B108" s="109">
        <f>PRODUCT(1,2,3)</f>
        <v>6</v>
      </c>
      <c r="C108" s="109">
        <v>6</v>
      </c>
      <c r="D108" s="109">
        <f t="shared" si="7"/>
        <v>1</v>
      </c>
    </row>
    <row r="109" spans="1:4" ht="17.25" customHeight="1" x14ac:dyDescent="0.2">
      <c r="A109" s="109" t="s">
        <v>169</v>
      </c>
      <c r="B109" s="109">
        <f>QUARTILE(N1:N5,0)</f>
        <v>0.1</v>
      </c>
      <c r="C109" s="109">
        <v>0.1</v>
      </c>
      <c r="D109" s="109">
        <f t="shared" si="7"/>
        <v>1</v>
      </c>
    </row>
    <row r="110" spans="1:4" ht="17.25" customHeight="1" x14ac:dyDescent="0.2">
      <c r="A110" s="109" t="s">
        <v>170</v>
      </c>
      <c r="B110" s="109">
        <f>ROUND(_xlfn.QUARTILE.EXC(N1:N5,1),5)</f>
        <v>0.15</v>
      </c>
      <c r="C110" s="109">
        <v>0.15</v>
      </c>
      <c r="D110" s="109">
        <f t="shared" si="7"/>
        <v>1</v>
      </c>
    </row>
    <row r="111" spans="1:4" ht="17.25" customHeight="1" x14ac:dyDescent="0.2">
      <c r="A111" s="109" t="s">
        <v>171</v>
      </c>
      <c r="B111" s="109">
        <f>_xlfn.QUARTILE.INC(N1:N5,4)</f>
        <v>0.6</v>
      </c>
      <c r="C111" s="109">
        <v>0.6</v>
      </c>
      <c r="D111" s="109">
        <f t="shared" si="7"/>
        <v>1</v>
      </c>
    </row>
    <row r="112" spans="1:4" ht="17.25" customHeight="1" x14ac:dyDescent="0.2">
      <c r="A112" s="109"/>
      <c r="B112" s="109"/>
      <c r="D112" s="109"/>
    </row>
    <row r="113" spans="1:4" ht="17.25" customHeight="1" x14ac:dyDescent="0.2">
      <c r="A113" s="109" t="s">
        <v>172</v>
      </c>
      <c r="B113" s="109">
        <f ca="1">RANDBETWEEN(1.1,2)</f>
        <v>2</v>
      </c>
      <c r="C113" s="109">
        <v>2</v>
      </c>
      <c r="D113" s="109">
        <f t="shared" ref="D113:D143" ca="1" si="8">IF(B113=C113,1,0)</f>
        <v>1</v>
      </c>
    </row>
    <row r="114" spans="1:4" ht="17.25" customHeight="1" x14ac:dyDescent="0.2">
      <c r="A114" s="109" t="s">
        <v>173</v>
      </c>
      <c r="B114" s="109" t="str">
        <f>REPLACE("ABZ",2,1,"Y")</f>
        <v>AYZ</v>
      </c>
      <c r="C114" s="109" t="s">
        <v>174</v>
      </c>
      <c r="D114" s="109">
        <f t="shared" si="8"/>
        <v>1</v>
      </c>
    </row>
    <row r="115" spans="1:4" ht="17.25" customHeight="1" x14ac:dyDescent="0.2">
      <c r="A115" s="109" t="s">
        <v>175</v>
      </c>
      <c r="B115" s="109" t="str">
        <f>RIGHT("kikou",2)</f>
        <v>ou</v>
      </c>
      <c r="C115" s="109" t="s">
        <v>176</v>
      </c>
      <c r="D115" s="109">
        <f t="shared" si="8"/>
        <v>1</v>
      </c>
    </row>
    <row r="116" spans="1:4" ht="17.25" customHeight="1" x14ac:dyDescent="0.2">
      <c r="A116" s="109" t="s">
        <v>177</v>
      </c>
      <c r="B116" s="109">
        <f>ROUND(49.9,0)</f>
        <v>50</v>
      </c>
      <c r="C116" s="109">
        <v>50</v>
      </c>
      <c r="D116" s="109">
        <f t="shared" si="8"/>
        <v>1</v>
      </c>
    </row>
    <row r="117" spans="1:4" ht="17.25" customHeight="1" x14ac:dyDescent="0.2">
      <c r="A117" s="109" t="s">
        <v>178</v>
      </c>
      <c r="B117" s="109">
        <f>ROUNDDOWN(42,-1)</f>
        <v>40</v>
      </c>
      <c r="C117" s="109">
        <v>40</v>
      </c>
      <c r="D117" s="109">
        <f t="shared" si="8"/>
        <v>1</v>
      </c>
    </row>
    <row r="118" spans="1:4" ht="17.25" customHeight="1" x14ac:dyDescent="0.2">
      <c r="A118" s="109" t="s">
        <v>179</v>
      </c>
      <c r="B118" s="109">
        <f>ROUNDUP(-1.6,0)</f>
        <v>-2</v>
      </c>
      <c r="C118" s="109">
        <v>-2</v>
      </c>
      <c r="D118" s="109">
        <f t="shared" si="8"/>
        <v>1</v>
      </c>
    </row>
    <row r="119" spans="1:4" ht="17.25" customHeight="1" x14ac:dyDescent="0.2">
      <c r="A119" s="109" t="s">
        <v>180</v>
      </c>
      <c r="B119" s="109">
        <f>ROW(A234)</f>
        <v>234</v>
      </c>
      <c r="C119" s="109">
        <v>234</v>
      </c>
      <c r="D119" s="109">
        <f t="shared" si="8"/>
        <v>1</v>
      </c>
    </row>
    <row r="120" spans="1:4" ht="17.25" customHeight="1" x14ac:dyDescent="0.2">
      <c r="A120" s="109" t="s">
        <v>181</v>
      </c>
      <c r="B120" s="109">
        <f>ROWS(B3:C40)</f>
        <v>38</v>
      </c>
      <c r="C120" s="109">
        <v>38</v>
      </c>
      <c r="D120" s="109">
        <f t="shared" si="8"/>
        <v>1</v>
      </c>
    </row>
    <row r="121" spans="1:4" ht="17.25" customHeight="1" x14ac:dyDescent="0.2">
      <c r="A121" s="109" t="s">
        <v>182</v>
      </c>
      <c r="B121" s="109">
        <f>SEARCH("C","ABCD")</f>
        <v>3</v>
      </c>
      <c r="C121" s="109">
        <v>3</v>
      </c>
      <c r="D121" s="109">
        <f t="shared" si="8"/>
        <v>1</v>
      </c>
    </row>
    <row r="122" spans="1:4" ht="17.25" customHeight="1" x14ac:dyDescent="0.2">
      <c r="A122" s="109" t="s">
        <v>183</v>
      </c>
      <c r="B122" s="109">
        <f>ROUND(_xlfn.SEC(PI()/3),5)</f>
        <v>2</v>
      </c>
      <c r="C122" s="109">
        <v>2</v>
      </c>
      <c r="D122" s="109">
        <f t="shared" si="8"/>
        <v>1</v>
      </c>
    </row>
    <row r="123" spans="1:4" ht="17.25" customHeight="1" x14ac:dyDescent="0.2">
      <c r="A123" s="109" t="s">
        <v>184</v>
      </c>
      <c r="B123" s="109">
        <f>ROUND(_xlfn.SECH(1),5)</f>
        <v>0.64805000000000001</v>
      </c>
      <c r="C123" s="109">
        <v>0.64805000000000001</v>
      </c>
      <c r="D123" s="109">
        <f t="shared" si="8"/>
        <v>1</v>
      </c>
    </row>
    <row r="124" spans="1:4" ht="17.25" customHeight="1" x14ac:dyDescent="0.2">
      <c r="A124" s="109" t="s">
        <v>185</v>
      </c>
      <c r="B124" s="109">
        <f>SECOND("00:21:42")</f>
        <v>42</v>
      </c>
      <c r="C124" s="109">
        <v>42</v>
      </c>
      <c r="D124" s="109">
        <f t="shared" si="8"/>
        <v>1</v>
      </c>
    </row>
    <row r="125" spans="1:4" ht="17.25" customHeight="1" x14ac:dyDescent="0.2">
      <c r="A125" s="109" t="s">
        <v>186</v>
      </c>
      <c r="B125" s="109">
        <f>ROUND(SIN(PI()/6),5)</f>
        <v>0.5</v>
      </c>
      <c r="C125" s="109">
        <v>0.5</v>
      </c>
      <c r="D125" s="109">
        <f t="shared" si="8"/>
        <v>1</v>
      </c>
    </row>
    <row r="126" spans="1:4" ht="17.25" customHeight="1" x14ac:dyDescent="0.2">
      <c r="A126" s="109" t="s">
        <v>187</v>
      </c>
      <c r="B126" s="109">
        <f>ROUND(SINH(1),5)</f>
        <v>1.1752</v>
      </c>
      <c r="C126" s="109">
        <v>1.1752</v>
      </c>
      <c r="D126" s="109">
        <f t="shared" si="8"/>
        <v>1</v>
      </c>
    </row>
    <row r="127" spans="1:4" ht="17.25" customHeight="1" x14ac:dyDescent="0.2">
      <c r="A127" s="109" t="s">
        <v>188</v>
      </c>
      <c r="B127" s="109">
        <f>SMALL(H2:H9,3)</f>
        <v>26</v>
      </c>
      <c r="C127" s="109">
        <v>26</v>
      </c>
      <c r="D127" s="109">
        <f t="shared" si="8"/>
        <v>1</v>
      </c>
    </row>
    <row r="128" spans="1:4" ht="17.25" customHeight="1" x14ac:dyDescent="0.2">
      <c r="A128" s="109" t="s">
        <v>189</v>
      </c>
      <c r="B128" s="109">
        <f>SQRT(4)</f>
        <v>2</v>
      </c>
      <c r="C128" s="109">
        <v>2</v>
      </c>
      <c r="D128" s="109">
        <f t="shared" si="8"/>
        <v>1</v>
      </c>
    </row>
    <row r="129" spans="1:4" ht="17.25" customHeight="1" x14ac:dyDescent="0.2">
      <c r="A129" s="109" t="s">
        <v>190</v>
      </c>
      <c r="B129" s="109">
        <f>STDEV(-2,0,2)</f>
        <v>2</v>
      </c>
      <c r="C129" s="109">
        <v>2</v>
      </c>
      <c r="D129" s="109">
        <f t="shared" si="8"/>
        <v>1</v>
      </c>
    </row>
    <row r="130" spans="1:4" ht="17.25" customHeight="1" x14ac:dyDescent="0.2">
      <c r="A130" s="109" t="s">
        <v>191</v>
      </c>
      <c r="B130" s="109">
        <f>_xlfn.STDEV.P(2,4)</f>
        <v>1</v>
      </c>
      <c r="C130" s="109">
        <v>1</v>
      </c>
      <c r="D130" s="109">
        <f t="shared" si="8"/>
        <v>1</v>
      </c>
    </row>
    <row r="131" spans="1:4" ht="17.25" customHeight="1" x14ac:dyDescent="0.2">
      <c r="A131" s="109" t="s">
        <v>192</v>
      </c>
      <c r="B131" s="109">
        <f>_xlfn.STDEV.S(2,4,6)</f>
        <v>2</v>
      </c>
      <c r="C131" s="109">
        <v>2</v>
      </c>
      <c r="D131" s="109">
        <f t="shared" si="8"/>
        <v>1</v>
      </c>
    </row>
    <row r="132" spans="1:4" ht="17.25" customHeight="1" x14ac:dyDescent="0.2">
      <c r="A132" s="109" t="s">
        <v>193</v>
      </c>
      <c r="B132" s="109">
        <f>STDEVA(TRUE,3,5)</f>
        <v>2</v>
      </c>
      <c r="C132" s="109">
        <v>2</v>
      </c>
      <c r="D132" s="109">
        <f t="shared" si="8"/>
        <v>1</v>
      </c>
    </row>
    <row r="133" spans="1:4" ht="17.25" customHeight="1" x14ac:dyDescent="0.2">
      <c r="A133" s="109" t="s">
        <v>194</v>
      </c>
      <c r="B133" s="109">
        <f>ROUND(STDEVP(2,5,8),2)</f>
        <v>2.4500000000000002</v>
      </c>
      <c r="C133" s="109">
        <v>2.4500000000000002</v>
      </c>
      <c r="D133" s="109">
        <f t="shared" si="8"/>
        <v>1</v>
      </c>
    </row>
    <row r="134" spans="1:4" ht="17.25" customHeight="1" x14ac:dyDescent="0.2">
      <c r="A134" s="109" t="s">
        <v>195</v>
      </c>
      <c r="B134" s="109">
        <f>ROUND(STDEVPA(TRUE,4,7),2)</f>
        <v>2.4500000000000002</v>
      </c>
      <c r="C134" s="109">
        <v>2.4500000000000002</v>
      </c>
      <c r="D134" s="109">
        <f t="shared" si="8"/>
        <v>1</v>
      </c>
    </row>
    <row r="135" spans="1:4" ht="17.25" customHeight="1" x14ac:dyDescent="0.2">
      <c r="A135" s="109" t="s">
        <v>196</v>
      </c>
      <c r="B135" s="109" t="str">
        <f>SUBSTITUTE("SAP is best","SAP","Odoo")</f>
        <v>Odoo is best</v>
      </c>
      <c r="C135" s="109" t="s">
        <v>197</v>
      </c>
      <c r="D135" s="109">
        <f t="shared" si="8"/>
        <v>1</v>
      </c>
    </row>
    <row r="136" spans="1:4" ht="17.25" customHeight="1" x14ac:dyDescent="0.2">
      <c r="A136" s="109" t="s">
        <v>198</v>
      </c>
      <c r="B136" s="109">
        <f>SUM(1,2,3,4,5)</f>
        <v>15</v>
      </c>
      <c r="C136" s="109">
        <v>15</v>
      </c>
      <c r="D136" s="109">
        <f t="shared" si="8"/>
        <v>1</v>
      </c>
    </row>
    <row r="137" spans="1:4" ht="17.25" customHeight="1" x14ac:dyDescent="0.2">
      <c r="A137" s="109" t="s">
        <v>199</v>
      </c>
      <c r="B137" s="109">
        <f>SUMIF(K2:K9,"&lt;100")</f>
        <v>52</v>
      </c>
      <c r="C137" s="109">
        <v>52</v>
      </c>
      <c r="D137" s="109">
        <f t="shared" si="8"/>
        <v>1</v>
      </c>
    </row>
    <row r="138" spans="1:4" ht="17.25" customHeight="1" x14ac:dyDescent="0.2">
      <c r="A138" s="109" t="s">
        <v>200</v>
      </c>
      <c r="B138" s="109">
        <f>SUMIFS(H2:H9,K2:K9,"&lt;100")</f>
        <v>201</v>
      </c>
      <c r="C138" s="109">
        <v>201</v>
      </c>
      <c r="D138" s="109">
        <f t="shared" si="8"/>
        <v>1</v>
      </c>
    </row>
    <row r="139" spans="1:4" ht="17.25" customHeight="1" x14ac:dyDescent="0.2">
      <c r="A139" s="109" t="s">
        <v>201</v>
      </c>
      <c r="B139" s="109">
        <f>ROUND(TAN(PI()/4),5)</f>
        <v>1</v>
      </c>
      <c r="C139" s="109">
        <v>1</v>
      </c>
      <c r="D139" s="109">
        <f t="shared" si="8"/>
        <v>1</v>
      </c>
    </row>
    <row r="140" spans="1:4" ht="17.25" customHeight="1" x14ac:dyDescent="0.2">
      <c r="A140" s="109" t="s">
        <v>202</v>
      </c>
      <c r="B140" s="109">
        <f>ROUND(TANH(1),5)</f>
        <v>0.76158999999999999</v>
      </c>
      <c r="C140" s="109">
        <v>0.76158999999999999</v>
      </c>
      <c r="D140" s="109">
        <f t="shared" si="8"/>
        <v>1</v>
      </c>
    </row>
    <row r="141" spans="1:4" ht="17.25" customHeight="1" x14ac:dyDescent="0.2">
      <c r="A141" s="109" t="s">
        <v>203</v>
      </c>
      <c r="B141" s="109" t="str">
        <f>_xlfn.TEXTJOIN("-",TRUE,"","1","A","%")</f>
        <v>1-A-%</v>
      </c>
      <c r="C141" s="109" t="s">
        <v>204</v>
      </c>
      <c r="D141" s="109">
        <f t="shared" si="8"/>
        <v>1</v>
      </c>
    </row>
    <row r="142" spans="1:4" ht="17.25" customHeight="1" x14ac:dyDescent="0.2">
      <c r="A142" s="109" t="s">
        <v>205</v>
      </c>
      <c r="B142" s="20">
        <f>TIME(9,11,31)</f>
        <v>0.38299768518518518</v>
      </c>
      <c r="C142" s="20">
        <v>0.38299768519999999</v>
      </c>
      <c r="D142" s="109">
        <f t="shared" si="8"/>
        <v>0</v>
      </c>
    </row>
    <row r="143" spans="1:4" ht="17.25" customHeight="1" x14ac:dyDescent="0.2">
      <c r="A143" s="109" t="s">
        <v>206</v>
      </c>
      <c r="B143" s="109">
        <f>TIMEVALUE("18:00:00")</f>
        <v>0.75</v>
      </c>
      <c r="C143" s="109">
        <v>0.75</v>
      </c>
      <c r="D143" s="109">
        <f t="shared" si="8"/>
        <v>1</v>
      </c>
    </row>
    <row r="144" spans="1:4" ht="17.25" customHeight="1" x14ac:dyDescent="0.2">
      <c r="A144" s="109" t="s">
        <v>207</v>
      </c>
      <c r="B144" s="18">
        <f ca="1">TODAY()</f>
        <v>46323</v>
      </c>
      <c r="D144" s="109">
        <f ca="1">IF(ISNUMBER(B144),1,0)</f>
        <v>1</v>
      </c>
    </row>
    <row r="145" spans="1:4" ht="17.25" customHeight="1" x14ac:dyDescent="0.2">
      <c r="A145" s="109" t="s">
        <v>208</v>
      </c>
      <c r="B145" s="109" t="str">
        <f>TRIM(" Jean Ticonstitutionnalise ")</f>
        <v>Jean Ticonstitutionnalise</v>
      </c>
      <c r="C145" s="109" t="s">
        <v>209</v>
      </c>
      <c r="D145" s="109">
        <f t="shared" ref="D145:D163" si="9">IF(B145=C145,1,0)</f>
        <v>1</v>
      </c>
    </row>
    <row r="146" spans="1:4" ht="17.25" customHeight="1" x14ac:dyDescent="0.2">
      <c r="A146" s="109" t="s">
        <v>210</v>
      </c>
      <c r="B146" s="109">
        <f>TRUNC(42.42,1)</f>
        <v>42.4</v>
      </c>
      <c r="C146" s="109">
        <v>42.4</v>
      </c>
      <c r="D146" s="109">
        <f t="shared" si="9"/>
        <v>1</v>
      </c>
    </row>
    <row r="147" spans="1:4" ht="17.25" customHeight="1" x14ac:dyDescent="0.2">
      <c r="A147" s="109" t="s">
        <v>211</v>
      </c>
      <c r="B147" s="109" t="str">
        <f>UPPER("grrrr !")</f>
        <v>GRRRR !</v>
      </c>
      <c r="C147" s="109" t="s">
        <v>212</v>
      </c>
      <c r="D147" s="109">
        <f t="shared" si="9"/>
        <v>1</v>
      </c>
    </row>
    <row r="148" spans="1:4" ht="17.25" customHeight="1" x14ac:dyDescent="0.2">
      <c r="A148" s="109" t="s">
        <v>213</v>
      </c>
      <c r="B148" s="109">
        <f>ROUND(VAR(K1:K5),5)</f>
        <v>2.9166699999999999</v>
      </c>
      <c r="C148" s="109">
        <v>2.9166699999999999</v>
      </c>
      <c r="D148" s="109">
        <f t="shared" si="9"/>
        <v>1</v>
      </c>
    </row>
    <row r="149" spans="1:4" ht="17.25" customHeight="1" x14ac:dyDescent="0.2">
      <c r="A149" s="109" t="s">
        <v>214</v>
      </c>
      <c r="B149" s="109">
        <f>ROUND(_xlfn.VAR.P(K1:K5),5)</f>
        <v>2.1875</v>
      </c>
      <c r="C149" s="109">
        <v>2.1875</v>
      </c>
      <c r="D149" s="109">
        <f t="shared" si="9"/>
        <v>1</v>
      </c>
    </row>
    <row r="150" spans="1:4" ht="17.25" customHeight="1" x14ac:dyDescent="0.2">
      <c r="A150" s="109" t="s">
        <v>215</v>
      </c>
      <c r="B150" s="109">
        <f>_xlfn.VAR.S(2,5,8)</f>
        <v>9</v>
      </c>
      <c r="C150" s="109">
        <v>9</v>
      </c>
      <c r="D150" s="109">
        <f t="shared" si="9"/>
        <v>1</v>
      </c>
    </row>
    <row r="151" spans="1:4" ht="17.25" customHeight="1" x14ac:dyDescent="0.2">
      <c r="A151" s="109" t="s">
        <v>216</v>
      </c>
      <c r="B151" s="109">
        <f>ROUND(VARA(K1:K5),5)</f>
        <v>6.7</v>
      </c>
      <c r="C151" s="109">
        <v>6.7</v>
      </c>
      <c r="D151" s="109">
        <f t="shared" si="9"/>
        <v>1</v>
      </c>
    </row>
    <row r="152" spans="1:4" ht="17.25" customHeight="1" x14ac:dyDescent="0.2">
      <c r="A152" s="109" t="s">
        <v>217</v>
      </c>
      <c r="B152" s="109">
        <f>ROUND(VARP(K1:K5),5)</f>
        <v>2.1875</v>
      </c>
      <c r="C152" s="109">
        <v>2.1875</v>
      </c>
      <c r="D152" s="109">
        <f t="shared" si="9"/>
        <v>1</v>
      </c>
    </row>
    <row r="153" spans="1:4" ht="17.25" customHeight="1" x14ac:dyDescent="0.2">
      <c r="A153" s="109" t="s">
        <v>218</v>
      </c>
      <c r="B153" s="109">
        <f>ROUND(VARPA(K1:K5),5)</f>
        <v>5.36</v>
      </c>
      <c r="C153" s="109">
        <v>5.36</v>
      </c>
      <c r="D153" s="109">
        <f t="shared" si="9"/>
        <v>1</v>
      </c>
    </row>
    <row r="154" spans="1:4" ht="17.25" customHeight="1" x14ac:dyDescent="0.2">
      <c r="A154" s="109" t="s">
        <v>219</v>
      </c>
      <c r="B154" s="109">
        <f>VLOOKUP("NotACheater",G1:K9,3,FALSE)</f>
        <v>252.4</v>
      </c>
      <c r="C154" s="109">
        <f>252.4</f>
        <v>252.4</v>
      </c>
      <c r="D154" s="109">
        <f t="shared" si="9"/>
        <v>1</v>
      </c>
    </row>
    <row r="155" spans="1:4" ht="17.25" customHeight="1" x14ac:dyDescent="0.2">
      <c r="A155" s="109" t="s">
        <v>220</v>
      </c>
      <c r="B155" s="109">
        <f>WEEKDAY("2021-06-12")</f>
        <v>7</v>
      </c>
      <c r="C155" s="109">
        <v>7</v>
      </c>
      <c r="D155" s="109">
        <f t="shared" si="9"/>
        <v>1</v>
      </c>
    </row>
    <row r="156" spans="1:4" ht="17.25" customHeight="1" x14ac:dyDescent="0.2">
      <c r="A156" s="109" t="s">
        <v>221</v>
      </c>
      <c r="B156" s="109">
        <f>WEEKNUM("2021-06-29")</f>
        <v>27</v>
      </c>
      <c r="C156" s="109">
        <v>27</v>
      </c>
      <c r="D156" s="109">
        <f t="shared" si="9"/>
        <v>1</v>
      </c>
    </row>
    <row r="157" spans="1:4" ht="17.25" customHeight="1" x14ac:dyDescent="0.2">
      <c r="A157" s="109" t="s">
        <v>222</v>
      </c>
      <c r="B157" s="18">
        <f>WORKDAY("2021-03-15",6)</f>
        <v>44278</v>
      </c>
      <c r="C157" s="18">
        <v>44278</v>
      </c>
      <c r="D157" s="109">
        <f t="shared" si="9"/>
        <v>1</v>
      </c>
    </row>
    <row r="158" spans="1:4" ht="17.25" customHeight="1" x14ac:dyDescent="0.2">
      <c r="A158" s="109" t="s">
        <v>223</v>
      </c>
      <c r="B158" s="18">
        <f>WORKDAY.INTL("2021-03-15",6,"0111111")</f>
        <v>44312</v>
      </c>
      <c r="C158" s="18">
        <v>44312</v>
      </c>
      <c r="D158" s="109">
        <f t="shared" si="9"/>
        <v>1</v>
      </c>
    </row>
    <row r="159" spans="1:4" ht="17.25" customHeight="1" x14ac:dyDescent="0.2">
      <c r="A159" s="109" t="s">
        <v>224</v>
      </c>
      <c r="B159" s="109" t="b">
        <f>_xlfn.XOR(FALSE,TRUE,FALSE,FALSE)</f>
        <v>1</v>
      </c>
      <c r="C159" s="109" t="b">
        <v>1</v>
      </c>
      <c r="D159" s="109">
        <f t="shared" si="9"/>
        <v>1</v>
      </c>
    </row>
    <row r="160" spans="1:4" ht="17.25" customHeight="1" x14ac:dyDescent="0.2">
      <c r="A160" s="109" t="s">
        <v>225</v>
      </c>
      <c r="B160" s="109">
        <f>YEAR("2012-03-12")</f>
        <v>2012</v>
      </c>
      <c r="C160" s="109">
        <v>2012</v>
      </c>
      <c r="D160" s="109">
        <f t="shared" si="9"/>
        <v>1</v>
      </c>
    </row>
    <row r="161" spans="1:4" ht="17.25" customHeight="1" x14ac:dyDescent="0.2">
      <c r="A161" s="109" t="s">
        <v>226</v>
      </c>
      <c r="B161" s="109">
        <f>DELTA(1,1)</f>
        <v>1</v>
      </c>
      <c r="C161" s="109">
        <v>1</v>
      </c>
      <c r="D161" s="109">
        <f t="shared" si="9"/>
        <v>1</v>
      </c>
    </row>
    <row r="162" spans="1:4" ht="17.25" customHeight="1" x14ac:dyDescent="0.2">
      <c r="A162" s="109" t="s">
        <v>227</v>
      </c>
      <c r="B162" s="109" t="str">
        <f>ADDRESS(1,1,4,FALSE,"sheet!")</f>
        <v>'sheet!'!R[1]C[1]</v>
      </c>
      <c r="C162" s="109" t="s">
        <v>228</v>
      </c>
      <c r="D162" s="109">
        <f t="shared" si="9"/>
        <v>1</v>
      </c>
    </row>
    <row r="163" spans="1:4" ht="17.25" customHeight="1" x14ac:dyDescent="0.2">
      <c r="A163" s="109" t="s">
        <v>229</v>
      </c>
      <c r="B163" s="109">
        <f>DATEDIF("2002/01/01","2002/01/02","D")</f>
        <v>1</v>
      </c>
      <c r="C163" s="109">
        <v>1</v>
      </c>
      <c r="D163" s="109">
        <f t="shared" si="9"/>
        <v>1</v>
      </c>
    </row>
  </sheetData>
  <conditionalFormatting sqref="D1:D180">
    <cfRule type="cellIs" dxfId="25" priority="1" operator="equal">
      <formula>1</formula>
    </cfRule>
    <cfRule type="cellIs" dxfId="24" priority="2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33AE-060F-4630-8DDE-76E5F5CF58F5}">
  <sheetPr>
    <tabColor rgb="FFFF0000"/>
    <outlinePr summaryRight="0"/>
  </sheetPr>
  <dimension ref="A1:R31"/>
  <sheetViews>
    <sheetView topLeftCell="A11" workbookViewId="0">
      <selection activeCell="A31" sqref="A31"/>
    </sheetView>
  </sheetViews>
  <sheetFormatPr defaultColWidth="9.140625" defaultRowHeight="12.75" outlineLevelRow="2" outlineLevelCol="2" x14ac:dyDescent="0.2"/>
  <cols>
    <col min="3" max="3" width="0" hidden="1" customWidth="1"/>
    <col min="6" max="6" width="14.140625" customWidth="1"/>
    <col min="10" max="10" width="9.140625" outlineLevel="1"/>
    <col min="11" max="11" width="9.140625" outlineLevel="1" collapsed="1"/>
    <col min="12" max="14" width="0" hidden="1" outlineLevel="2"/>
    <col min="15" max="18" width="9.140625" outlineLevel="1"/>
  </cols>
  <sheetData>
    <row r="1" spans="1:8" x14ac:dyDescent="0.2">
      <c r="A1" t="s">
        <v>230</v>
      </c>
      <c r="C1" t="s">
        <v>231</v>
      </c>
      <c r="D1" s="115" t="s">
        <v>232</v>
      </c>
      <c r="E1" s="115"/>
      <c r="F1" t="s">
        <v>233</v>
      </c>
      <c r="H1" s="34" t="s">
        <v>234</v>
      </c>
    </row>
    <row r="2" spans="1:8" x14ac:dyDescent="0.2">
      <c r="A2">
        <f>SUM(A1)</f>
        <v>0</v>
      </c>
      <c r="D2" s="115"/>
      <c r="E2" s="115"/>
      <c r="H2" t="str">
        <f>[1]Feuil1!$A$1</f>
        <v>referenced string</v>
      </c>
    </row>
    <row r="3" spans="1:8" x14ac:dyDescent="0.2">
      <c r="D3" s="85" t="s">
        <v>235</v>
      </c>
      <c r="F3" s="85" t="s">
        <v>236</v>
      </c>
    </row>
    <row r="4" spans="1:8" hidden="1" x14ac:dyDescent="0.2">
      <c r="A4" t="s">
        <v>237</v>
      </c>
    </row>
    <row r="5" spans="1:8" ht="75" customHeight="1" x14ac:dyDescent="0.2">
      <c r="A5" t="s">
        <v>238</v>
      </c>
    </row>
    <row r="10" spans="1:8" outlineLevel="1" x14ac:dyDescent="0.2"/>
    <row r="11" spans="1:8" outlineLevel="1" x14ac:dyDescent="0.2"/>
    <row r="12" spans="1:8" hidden="1" outlineLevel="2" x14ac:dyDescent="0.2"/>
    <row r="13" spans="1:8" hidden="1" outlineLevel="2" x14ac:dyDescent="0.2"/>
    <row r="14" spans="1:8" hidden="1" outlineLevel="2" x14ac:dyDescent="0.2"/>
    <row r="15" spans="1:8" outlineLevel="1" collapsed="1" x14ac:dyDescent="0.2"/>
    <row r="16" spans="1:8" outlineLevel="1" x14ac:dyDescent="0.2"/>
    <row r="17" spans="1:2" outlineLevel="1" x14ac:dyDescent="0.2"/>
    <row r="18" spans="1:2" outlineLevel="1" x14ac:dyDescent="0.2"/>
    <row r="30" spans="1:2" x14ac:dyDescent="0.2">
      <c r="A30" cm="1">
        <f t="array" aca="1" ref="A30:B31" ca="1">_xlfn.RANDARRAY(2,2)</f>
        <v>0.18616970653222542</v>
      </c>
      <c r="B30">
        <f ca="1"/>
        <v>0.22504048945622568</v>
      </c>
    </row>
    <row r="31" spans="1:2" x14ac:dyDescent="0.2">
      <c r="A31">
        <f ca="1"/>
        <v>0.13755110210467758</v>
      </c>
      <c r="B31">
        <f ca="1"/>
        <v>0.6918699284640335</v>
      </c>
    </row>
  </sheetData>
  <mergeCells count="1">
    <mergeCell ref="D1:E2"/>
  </mergeCells>
  <hyperlinks>
    <hyperlink ref="D3" r:id="rId1" xr:uid="{A61B26BA-AE3A-429B-93A3-6B407C265390}"/>
    <hyperlink ref="F3" location="jestSheet!A1" display="sheetLink" xr:uid="{EB48427D-C2FD-4462-BE8E-DC54F27FCE4C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F2C0-1053-4FB6-BD74-8A11B0CAF123}">
  <dimension ref="A1:M30"/>
  <sheetViews>
    <sheetView zoomScale="145" zoomScaleNormal="145" workbookViewId="0">
      <selection activeCell="H9" sqref="H9"/>
    </sheetView>
  </sheetViews>
  <sheetFormatPr defaultColWidth="9.140625" defaultRowHeight="12.75" x14ac:dyDescent="0.2"/>
  <cols>
    <col min="3" max="3" width="17.85546875" customWidth="1"/>
    <col min="5" max="5" width="18.140625" customWidth="1"/>
    <col min="13" max="13" width="10.42578125" bestFit="1" customWidth="1"/>
  </cols>
  <sheetData>
    <row r="1" spans="1:13" ht="13.5" thickBot="1" x14ac:dyDescent="0.25">
      <c r="A1" s="68" t="s">
        <v>239</v>
      </c>
      <c r="C1" s="34" t="s">
        <v>240</v>
      </c>
      <c r="E1" s="35" t="s">
        <v>241</v>
      </c>
      <c r="F1" s="36"/>
      <c r="H1" s="34" t="s">
        <v>242</v>
      </c>
      <c r="J1" s="34" t="s">
        <v>243</v>
      </c>
      <c r="L1" s="93" t="s">
        <v>244</v>
      </c>
      <c r="M1" s="36"/>
    </row>
    <row r="2" spans="1:13" x14ac:dyDescent="0.2">
      <c r="A2" s="40" t="s">
        <v>245</v>
      </c>
      <c r="C2" s="86" t="s">
        <v>246</v>
      </c>
      <c r="E2" s="38" t="s">
        <v>247</v>
      </c>
      <c r="F2" s="21" t="s">
        <v>248</v>
      </c>
      <c r="H2" s="72" t="s">
        <v>249</v>
      </c>
      <c r="J2" s="83" t="s">
        <v>250</v>
      </c>
      <c r="L2" s="21" t="s">
        <v>251</v>
      </c>
      <c r="M2" s="94">
        <v>10</v>
      </c>
    </row>
    <row r="3" spans="1:13" x14ac:dyDescent="0.2">
      <c r="A3" s="41" t="s">
        <v>252</v>
      </c>
      <c r="E3" s="38" t="s">
        <v>15</v>
      </c>
      <c r="F3" s="23" t="s">
        <v>248</v>
      </c>
      <c r="H3" s="71" t="s">
        <v>253</v>
      </c>
      <c r="J3" s="73" t="s">
        <v>254</v>
      </c>
      <c r="L3" s="21" t="s">
        <v>255</v>
      </c>
      <c r="M3" s="95">
        <v>10</v>
      </c>
    </row>
    <row r="4" spans="1:13" ht="15" x14ac:dyDescent="0.3">
      <c r="A4" s="42" t="s">
        <v>256</v>
      </c>
      <c r="C4" s="56" t="s">
        <v>257</v>
      </c>
      <c r="E4" s="38" t="s">
        <v>258</v>
      </c>
      <c r="F4" s="24" t="s">
        <v>248</v>
      </c>
      <c r="H4" s="34" t="s">
        <v>259</v>
      </c>
      <c r="J4" s="84" t="s">
        <v>260</v>
      </c>
      <c r="L4" s="21" t="s">
        <v>261</v>
      </c>
      <c r="M4" s="96">
        <v>10</v>
      </c>
    </row>
    <row r="5" spans="1:13" x14ac:dyDescent="0.2">
      <c r="A5" s="43" t="s">
        <v>262</v>
      </c>
      <c r="E5" s="38" t="s">
        <v>263</v>
      </c>
      <c r="F5" s="25" t="s">
        <v>248</v>
      </c>
      <c r="H5" s="70" t="s">
        <v>264</v>
      </c>
      <c r="L5" s="21" t="s">
        <v>265</v>
      </c>
      <c r="M5" s="97">
        <v>10</v>
      </c>
    </row>
    <row r="6" spans="1:13" x14ac:dyDescent="0.2">
      <c r="A6" s="44" t="s">
        <v>266</v>
      </c>
      <c r="C6" s="57" t="s">
        <v>267</v>
      </c>
      <c r="E6" s="38" t="s">
        <v>268</v>
      </c>
      <c r="F6" s="26" t="s">
        <v>248</v>
      </c>
      <c r="H6" s="69" t="s">
        <v>269</v>
      </c>
      <c r="L6" s="21" t="s">
        <v>270</v>
      </c>
      <c r="M6" s="98">
        <v>10</v>
      </c>
    </row>
    <row r="7" spans="1:13" ht="15.75" x14ac:dyDescent="0.25">
      <c r="A7" s="45" t="s">
        <v>271</v>
      </c>
      <c r="E7" s="38" t="s">
        <v>272</v>
      </c>
      <c r="F7" s="27" t="s">
        <v>248</v>
      </c>
      <c r="H7" s="82" t="s">
        <v>273</v>
      </c>
      <c r="L7" s="38" t="s">
        <v>274</v>
      </c>
      <c r="M7" s="100">
        <v>10</v>
      </c>
    </row>
    <row r="8" spans="1:13" ht="21" x14ac:dyDescent="0.35">
      <c r="A8" s="46" t="s">
        <v>275</v>
      </c>
      <c r="C8" s="58" t="s">
        <v>276</v>
      </c>
      <c r="E8" s="38" t="s">
        <v>277</v>
      </c>
      <c r="F8" s="28" t="s">
        <v>248</v>
      </c>
      <c r="H8" s="81" t="s">
        <v>278</v>
      </c>
      <c r="L8" s="38" t="s">
        <v>279</v>
      </c>
      <c r="M8" s="101">
        <v>10</v>
      </c>
    </row>
    <row r="9" spans="1:13" x14ac:dyDescent="0.2">
      <c r="A9" s="47" t="s">
        <v>280</v>
      </c>
      <c r="E9" s="38" t="s">
        <v>281</v>
      </c>
      <c r="F9" s="29" t="s">
        <v>248</v>
      </c>
      <c r="L9" s="38" t="s">
        <v>282</v>
      </c>
      <c r="M9" s="102">
        <v>10</v>
      </c>
    </row>
    <row r="10" spans="1:13" x14ac:dyDescent="0.2">
      <c r="A10" s="48" t="s">
        <v>283</v>
      </c>
      <c r="C10" s="59" t="s">
        <v>284</v>
      </c>
    </row>
    <row r="11" spans="1:13" ht="13.5" thickBot="1" x14ac:dyDescent="0.25">
      <c r="A11" s="49" t="s">
        <v>285</v>
      </c>
      <c r="E11" s="35" t="s">
        <v>286</v>
      </c>
      <c r="F11" s="36"/>
    </row>
    <row r="12" spans="1:13" ht="18.75" customHeight="1" x14ac:dyDescent="0.2">
      <c r="A12" s="50" t="s">
        <v>287</v>
      </c>
      <c r="C12" s="60" t="s">
        <v>288</v>
      </c>
      <c r="E12" s="38" t="s">
        <v>289</v>
      </c>
      <c r="F12" s="21" t="s">
        <v>248</v>
      </c>
    </row>
    <row r="13" spans="1:13" ht="18.75" customHeight="1" thickBot="1" x14ac:dyDescent="0.25">
      <c r="A13" s="51" t="s">
        <v>290</v>
      </c>
      <c r="E13" s="38" t="s">
        <v>16</v>
      </c>
      <c r="F13" s="30" t="s">
        <v>248</v>
      </c>
    </row>
    <row r="14" spans="1:13" ht="18.75" customHeight="1" thickBot="1" x14ac:dyDescent="0.25">
      <c r="A14" s="52" t="s">
        <v>291</v>
      </c>
      <c r="C14" s="61" t="s">
        <v>292</v>
      </c>
      <c r="E14" s="38" t="s">
        <v>258</v>
      </c>
      <c r="F14" s="31" t="s">
        <v>248</v>
      </c>
    </row>
    <row r="15" spans="1:13" ht="18.75" customHeight="1" thickBot="1" x14ac:dyDescent="0.25">
      <c r="A15" s="53" t="s">
        <v>293</v>
      </c>
      <c r="E15" s="38" t="s">
        <v>272</v>
      </c>
      <c r="F15" s="32" t="s">
        <v>248</v>
      </c>
    </row>
    <row r="16" spans="1:13" ht="19.5" customHeight="1" thickBot="1" x14ac:dyDescent="0.25">
      <c r="A16" s="54" t="s">
        <v>294</v>
      </c>
      <c r="C16" s="62" t="s">
        <v>295</v>
      </c>
      <c r="E16" s="38" t="s">
        <v>281</v>
      </c>
      <c r="F16" s="33" t="s">
        <v>248</v>
      </c>
    </row>
    <row r="17" spans="1:6" ht="13.5" thickBot="1" x14ac:dyDescent="0.25">
      <c r="A17" s="55" t="s">
        <v>296</v>
      </c>
    </row>
    <row r="18" spans="1:6" ht="13.5" thickBot="1" x14ac:dyDescent="0.25">
      <c r="A18" s="74" t="s">
        <v>297</v>
      </c>
      <c r="C18" s="63" t="s">
        <v>298</v>
      </c>
      <c r="E18" s="35" t="s">
        <v>299</v>
      </c>
      <c r="F18" s="36"/>
    </row>
    <row r="19" spans="1:6" ht="13.5" thickBot="1" x14ac:dyDescent="0.25">
      <c r="A19" s="75" t="s">
        <v>300</v>
      </c>
      <c r="E19" s="38" t="s">
        <v>301</v>
      </c>
      <c r="F19" t="s">
        <v>302</v>
      </c>
    </row>
    <row r="20" spans="1:6" ht="51.75" thickBot="1" x14ac:dyDescent="0.25">
      <c r="A20" s="76" t="s">
        <v>303</v>
      </c>
      <c r="C20" s="64" t="s">
        <v>304</v>
      </c>
      <c r="E20" s="38" t="s">
        <v>305</v>
      </c>
      <c r="F20" s="103" t="s">
        <v>302</v>
      </c>
    </row>
    <row r="21" spans="1:6" ht="13.5" thickBot="1" x14ac:dyDescent="0.25">
      <c r="A21" s="77" t="s">
        <v>306</v>
      </c>
    </row>
    <row r="22" spans="1:6" ht="13.5" thickBot="1" x14ac:dyDescent="0.25">
      <c r="A22" s="78" t="s">
        <v>307</v>
      </c>
      <c r="C22" s="65" t="s">
        <v>308</v>
      </c>
      <c r="E22" s="21"/>
    </row>
    <row r="23" spans="1:6" ht="13.5" thickBot="1" x14ac:dyDescent="0.25">
      <c r="A23" s="79" t="s">
        <v>309</v>
      </c>
      <c r="E23" s="21"/>
    </row>
    <row r="24" spans="1:6" ht="14.25" thickTop="1" thickBot="1" x14ac:dyDescent="0.25">
      <c r="A24" s="80" t="s">
        <v>310</v>
      </c>
      <c r="C24" s="66" t="s">
        <v>311</v>
      </c>
      <c r="E24" s="21"/>
    </row>
    <row r="25" spans="1:6" ht="14.25" thickTop="1" thickBot="1" x14ac:dyDescent="0.25"/>
    <row r="26" spans="1:6" ht="14.25" thickTop="1" thickBot="1" x14ac:dyDescent="0.25">
      <c r="C26" s="67" t="s">
        <v>312</v>
      </c>
    </row>
    <row r="27" spans="1:6" ht="14.25" thickTop="1" thickBot="1" x14ac:dyDescent="0.25"/>
    <row r="28" spans="1:6" ht="14.25" thickTop="1" thickBot="1" x14ac:dyDescent="0.25">
      <c r="C28" s="88" t="s">
        <v>313</v>
      </c>
    </row>
    <row r="29" spans="1:6" ht="13.5" thickTop="1" x14ac:dyDescent="0.2"/>
    <row r="30" spans="1:6" x14ac:dyDescent="0.2">
      <c r="C30" s="87" t="s">
        <v>314</v>
      </c>
    </row>
  </sheetData>
  <pageMargins left="1" right="1" top="1" bottom="1" header="0.5" footer="0.5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E811-4385-4D35-A19E-3B7E0E659A89}">
  <dimension ref="A1:L39"/>
  <sheetViews>
    <sheetView zoomScaleNormal="100" workbookViewId="0">
      <selection activeCell="M11" sqref="M11"/>
    </sheetView>
  </sheetViews>
  <sheetFormatPr defaultColWidth="11.42578125" defaultRowHeight="12.75" x14ac:dyDescent="0.2"/>
  <cols>
    <col min="1" max="1" width="19.140625" customWidth="1"/>
    <col min="7" max="7" width="15.85546875" customWidth="1"/>
  </cols>
  <sheetData>
    <row r="1" spans="1:10" ht="13.5" thickBot="1" x14ac:dyDescent="0.25">
      <c r="A1" s="37" t="s">
        <v>315</v>
      </c>
      <c r="B1" s="35" t="s">
        <v>316</v>
      </c>
      <c r="C1" s="35" t="s">
        <v>317</v>
      </c>
      <c r="G1" s="35" t="s">
        <v>318</v>
      </c>
      <c r="H1" s="36"/>
      <c r="I1" s="36"/>
      <c r="J1" s="36"/>
    </row>
    <row r="2" spans="1:10" x14ac:dyDescent="0.2">
      <c r="A2" s="38" t="s">
        <v>319</v>
      </c>
      <c r="B2">
        <v>3</v>
      </c>
      <c r="C2">
        <v>1</v>
      </c>
      <c r="G2" s="34" t="s">
        <v>320</v>
      </c>
      <c r="H2" s="21">
        <v>5</v>
      </c>
      <c r="I2">
        <v>3</v>
      </c>
      <c r="J2" s="21">
        <v>1</v>
      </c>
    </row>
    <row r="3" spans="1:10" x14ac:dyDescent="0.2">
      <c r="A3" s="38" t="s">
        <v>321</v>
      </c>
      <c r="B3" s="21" t="s">
        <v>322</v>
      </c>
      <c r="C3" s="21" t="s">
        <v>323</v>
      </c>
      <c r="G3" s="34" t="s">
        <v>324</v>
      </c>
      <c r="H3">
        <v>5</v>
      </c>
      <c r="I3">
        <v>3</v>
      </c>
      <c r="J3">
        <v>1</v>
      </c>
    </row>
    <row r="4" spans="1:10" x14ac:dyDescent="0.2">
      <c r="A4" s="38" t="s">
        <v>325</v>
      </c>
      <c r="C4" s="21" t="s">
        <v>326</v>
      </c>
      <c r="G4" s="34" t="s">
        <v>327</v>
      </c>
      <c r="H4">
        <v>5</v>
      </c>
      <c r="I4">
        <v>3</v>
      </c>
      <c r="J4">
        <v>1</v>
      </c>
    </row>
    <row r="5" spans="1:10" x14ac:dyDescent="0.2">
      <c r="A5" s="38" t="s">
        <v>328</v>
      </c>
      <c r="B5" t="e">
        <f>0/0</f>
        <v>#DIV/0!</v>
      </c>
      <c r="C5">
        <v>0</v>
      </c>
      <c r="G5" s="34" t="s">
        <v>329</v>
      </c>
      <c r="H5">
        <v>5</v>
      </c>
      <c r="I5">
        <v>3</v>
      </c>
      <c r="J5">
        <v>1</v>
      </c>
    </row>
    <row r="6" spans="1:10" x14ac:dyDescent="0.2">
      <c r="A6" s="38" t="s">
        <v>330</v>
      </c>
      <c r="B6" s="21" t="s">
        <v>331</v>
      </c>
      <c r="C6" s="21" t="s">
        <v>323</v>
      </c>
      <c r="G6" s="34" t="s">
        <v>332</v>
      </c>
      <c r="H6">
        <v>5</v>
      </c>
      <c r="I6">
        <v>3</v>
      </c>
      <c r="J6">
        <v>1</v>
      </c>
    </row>
    <row r="7" spans="1:10" x14ac:dyDescent="0.2">
      <c r="A7" s="38" t="s">
        <v>333</v>
      </c>
      <c r="B7" s="21" t="s">
        <v>334</v>
      </c>
      <c r="C7" s="21" t="s">
        <v>335</v>
      </c>
      <c r="D7" s="21" t="s">
        <v>334</v>
      </c>
      <c r="G7" s="34" t="s">
        <v>336</v>
      </c>
      <c r="H7">
        <v>5</v>
      </c>
      <c r="I7">
        <v>3</v>
      </c>
      <c r="J7">
        <v>1</v>
      </c>
    </row>
    <row r="8" spans="1:10" x14ac:dyDescent="0.2">
      <c r="A8" s="38" t="s">
        <v>337</v>
      </c>
      <c r="B8" s="21" t="s">
        <v>338</v>
      </c>
      <c r="C8" s="21" t="s">
        <v>323</v>
      </c>
    </row>
    <row r="9" spans="1:10" x14ac:dyDescent="0.2">
      <c r="A9" s="38" t="s">
        <v>339</v>
      </c>
      <c r="B9" s="21" t="s">
        <v>326</v>
      </c>
      <c r="C9" s="21"/>
    </row>
    <row r="10" spans="1:10" ht="13.5" thickBot="1" x14ac:dyDescent="0.25">
      <c r="A10" s="38" t="s">
        <v>340</v>
      </c>
      <c r="B10">
        <v>0</v>
      </c>
      <c r="C10" t="e">
        <f>0/0</f>
        <v>#DIV/0!</v>
      </c>
      <c r="G10" s="35" t="s">
        <v>341</v>
      </c>
      <c r="H10" s="36"/>
      <c r="I10" s="36"/>
      <c r="J10" s="36"/>
    </row>
    <row r="11" spans="1:10" x14ac:dyDescent="0.2">
      <c r="A11" s="38" t="s">
        <v>342</v>
      </c>
      <c r="B11" s="21" t="s">
        <v>323</v>
      </c>
      <c r="C11" s="21" t="s">
        <v>338</v>
      </c>
      <c r="G11" s="34" t="s">
        <v>343</v>
      </c>
      <c r="H11">
        <v>5</v>
      </c>
      <c r="I11">
        <v>3</v>
      </c>
      <c r="J11">
        <v>1</v>
      </c>
    </row>
    <row r="12" spans="1:10" x14ac:dyDescent="0.2">
      <c r="A12" s="38" t="s">
        <v>344</v>
      </c>
      <c r="B12" s="39">
        <f ca="1">TODAY()</f>
        <v>46323</v>
      </c>
      <c r="C12" s="39">
        <f>DATE(2010,10,2)</f>
        <v>40453</v>
      </c>
      <c r="G12" s="34" t="s">
        <v>345</v>
      </c>
      <c r="H12">
        <v>5</v>
      </c>
      <c r="I12">
        <v>3</v>
      </c>
      <c r="J12">
        <v>1</v>
      </c>
    </row>
    <row r="13" spans="1:10" x14ac:dyDescent="0.2">
      <c r="A13" s="38" t="s">
        <v>346</v>
      </c>
      <c r="B13">
        <v>7</v>
      </c>
      <c r="C13">
        <v>5</v>
      </c>
      <c r="G13" s="34" t="s">
        <v>347</v>
      </c>
      <c r="H13">
        <v>5</v>
      </c>
      <c r="I13">
        <v>3</v>
      </c>
      <c r="J13">
        <v>1</v>
      </c>
    </row>
    <row r="14" spans="1:10" x14ac:dyDescent="0.2">
      <c r="A14" s="38" t="s">
        <v>348</v>
      </c>
      <c r="B14" s="21" t="s">
        <v>335</v>
      </c>
      <c r="C14" s="21" t="s">
        <v>334</v>
      </c>
      <c r="D14" s="21" t="s">
        <v>334</v>
      </c>
      <c r="G14" s="34" t="s">
        <v>349</v>
      </c>
      <c r="H14">
        <v>5</v>
      </c>
      <c r="I14">
        <v>3</v>
      </c>
      <c r="J14">
        <v>1</v>
      </c>
    </row>
    <row r="15" spans="1:10" x14ac:dyDescent="0.2">
      <c r="A15" s="38" t="s">
        <v>350</v>
      </c>
      <c r="B15">
        <v>1</v>
      </c>
      <c r="G15" s="34" t="s">
        <v>351</v>
      </c>
      <c r="H15">
        <v>5</v>
      </c>
      <c r="I15">
        <v>3</v>
      </c>
      <c r="J15">
        <v>1</v>
      </c>
    </row>
    <row r="16" spans="1:10" x14ac:dyDescent="0.2">
      <c r="A16" s="38" t="s">
        <v>352</v>
      </c>
      <c r="B16">
        <v>2</v>
      </c>
      <c r="C16">
        <v>1</v>
      </c>
      <c r="G16" s="34" t="s">
        <v>353</v>
      </c>
      <c r="H16">
        <v>5</v>
      </c>
      <c r="I16">
        <v>3</v>
      </c>
      <c r="J16">
        <v>1</v>
      </c>
    </row>
    <row r="17" spans="1:12" x14ac:dyDescent="0.2">
      <c r="A17" s="38" t="s">
        <v>354</v>
      </c>
      <c r="B17">
        <v>0</v>
      </c>
      <c r="C17">
        <v>2</v>
      </c>
      <c r="G17" s="34" t="s">
        <v>355</v>
      </c>
      <c r="H17">
        <v>5</v>
      </c>
      <c r="I17">
        <v>3</v>
      </c>
      <c r="J17">
        <v>1</v>
      </c>
    </row>
    <row r="18" spans="1:12" x14ac:dyDescent="0.2">
      <c r="A18" s="38" t="s">
        <v>356</v>
      </c>
      <c r="B18">
        <v>3</v>
      </c>
      <c r="C18">
        <v>0</v>
      </c>
      <c r="G18" s="34" t="s">
        <v>357</v>
      </c>
      <c r="H18">
        <v>5</v>
      </c>
      <c r="I18">
        <v>3</v>
      </c>
      <c r="J18">
        <v>1</v>
      </c>
    </row>
    <row r="19" spans="1:12" x14ac:dyDescent="0.2">
      <c r="A19" s="38" t="s">
        <v>358</v>
      </c>
      <c r="B19">
        <v>2</v>
      </c>
      <c r="C19">
        <v>0</v>
      </c>
      <c r="G19" s="34" t="s">
        <v>359</v>
      </c>
      <c r="H19">
        <v>5</v>
      </c>
      <c r="I19">
        <v>3</v>
      </c>
      <c r="J19">
        <v>1</v>
      </c>
    </row>
    <row r="20" spans="1:12" x14ac:dyDescent="0.2">
      <c r="A20" s="38" t="s">
        <v>360</v>
      </c>
      <c r="B20">
        <v>0</v>
      </c>
      <c r="C20">
        <v>2</v>
      </c>
      <c r="G20" s="34" t="s">
        <v>361</v>
      </c>
      <c r="H20">
        <v>5</v>
      </c>
      <c r="I20">
        <v>3</v>
      </c>
      <c r="J20">
        <v>1</v>
      </c>
    </row>
    <row r="21" spans="1:12" x14ac:dyDescent="0.2">
      <c r="A21" s="38" t="s">
        <v>362</v>
      </c>
      <c r="B21">
        <v>2</v>
      </c>
      <c r="C21">
        <v>3</v>
      </c>
      <c r="G21" s="34" t="s">
        <v>363</v>
      </c>
      <c r="H21">
        <v>5</v>
      </c>
      <c r="I21">
        <v>4</v>
      </c>
      <c r="J21">
        <v>3</v>
      </c>
      <c r="K21">
        <v>2</v>
      </c>
    </row>
    <row r="22" spans="1:12" x14ac:dyDescent="0.2">
      <c r="A22" s="38" t="s">
        <v>364</v>
      </c>
      <c r="B22">
        <v>2</v>
      </c>
      <c r="C22">
        <v>0</v>
      </c>
      <c r="G22" s="34" t="s">
        <v>365</v>
      </c>
      <c r="H22">
        <v>5</v>
      </c>
      <c r="I22">
        <v>4</v>
      </c>
      <c r="J22">
        <v>3</v>
      </c>
      <c r="K22">
        <v>2</v>
      </c>
    </row>
    <row r="23" spans="1:12" x14ac:dyDescent="0.2">
      <c r="A23" s="38" t="s">
        <v>366</v>
      </c>
      <c r="B23">
        <v>1</v>
      </c>
      <c r="C23">
        <v>2</v>
      </c>
      <c r="G23" s="34" t="s">
        <v>367</v>
      </c>
      <c r="H23">
        <v>5</v>
      </c>
      <c r="I23">
        <v>4</v>
      </c>
      <c r="J23">
        <v>3</v>
      </c>
      <c r="K23">
        <v>2</v>
      </c>
    </row>
    <row r="24" spans="1:12" x14ac:dyDescent="0.2">
      <c r="G24" s="34" t="s">
        <v>368</v>
      </c>
      <c r="H24">
        <v>5</v>
      </c>
      <c r="I24">
        <v>4</v>
      </c>
      <c r="J24">
        <v>3</v>
      </c>
      <c r="K24">
        <v>2</v>
      </c>
    </row>
    <row r="25" spans="1:12" x14ac:dyDescent="0.2">
      <c r="A25" s="38" t="s">
        <v>369</v>
      </c>
      <c r="B25">
        <v>5</v>
      </c>
      <c r="C25">
        <v>2</v>
      </c>
      <c r="G25" s="34" t="s">
        <v>370</v>
      </c>
      <c r="H25">
        <v>5</v>
      </c>
      <c r="I25">
        <v>4</v>
      </c>
      <c r="J25">
        <v>3</v>
      </c>
      <c r="K25">
        <v>2</v>
      </c>
    </row>
    <row r="26" spans="1:12" x14ac:dyDescent="0.2">
      <c r="G26" s="34" t="s">
        <v>371</v>
      </c>
      <c r="H26">
        <v>5</v>
      </c>
      <c r="I26">
        <v>4</v>
      </c>
      <c r="J26">
        <v>3</v>
      </c>
      <c r="K26">
        <v>2</v>
      </c>
      <c r="L26">
        <v>1</v>
      </c>
    </row>
    <row r="27" spans="1:12" x14ac:dyDescent="0.2">
      <c r="A27" s="21" t="s">
        <v>372</v>
      </c>
      <c r="B27">
        <v>2</v>
      </c>
      <c r="G27" s="34" t="s">
        <v>373</v>
      </c>
      <c r="H27">
        <v>5</v>
      </c>
      <c r="I27">
        <v>4</v>
      </c>
      <c r="J27">
        <v>3</v>
      </c>
      <c r="K27">
        <v>2</v>
      </c>
      <c r="L27">
        <v>1</v>
      </c>
    </row>
    <row r="28" spans="1:12" x14ac:dyDescent="0.2">
      <c r="G28" s="34" t="s">
        <v>374</v>
      </c>
      <c r="H28">
        <v>5</v>
      </c>
      <c r="I28">
        <v>4</v>
      </c>
      <c r="J28">
        <v>3</v>
      </c>
      <c r="K28">
        <v>2</v>
      </c>
      <c r="L28">
        <v>1</v>
      </c>
    </row>
    <row r="29" spans="1:12" x14ac:dyDescent="0.2">
      <c r="A29" s="38" t="s">
        <v>375</v>
      </c>
      <c r="B29">
        <v>3</v>
      </c>
      <c r="C29">
        <v>10</v>
      </c>
      <c r="G29" s="34" t="s">
        <v>376</v>
      </c>
      <c r="H29">
        <v>5</v>
      </c>
      <c r="I29">
        <v>4</v>
      </c>
      <c r="J29">
        <v>3</v>
      </c>
      <c r="K29">
        <v>2</v>
      </c>
      <c r="L29">
        <v>1</v>
      </c>
    </row>
    <row r="30" spans="1:12" x14ac:dyDescent="0.2">
      <c r="G30" s="34" t="s">
        <v>377</v>
      </c>
      <c r="H30">
        <v>5</v>
      </c>
      <c r="I30">
        <v>4</v>
      </c>
      <c r="J30">
        <v>3</v>
      </c>
      <c r="K30">
        <v>2</v>
      </c>
      <c r="L30">
        <v>1</v>
      </c>
    </row>
    <row r="31" spans="1:12" ht="13.5" thickBot="1" x14ac:dyDescent="0.25">
      <c r="G31" s="35" t="s">
        <v>378</v>
      </c>
      <c r="H31" s="36">
        <v>5</v>
      </c>
      <c r="I31" s="36">
        <v>3</v>
      </c>
      <c r="J31" s="36">
        <v>1</v>
      </c>
    </row>
    <row r="32" spans="1:12" x14ac:dyDescent="0.2">
      <c r="G32" s="34" t="s">
        <v>379</v>
      </c>
      <c r="H32">
        <v>5</v>
      </c>
      <c r="I32">
        <v>3</v>
      </c>
      <c r="J32">
        <v>1</v>
      </c>
    </row>
    <row r="33" spans="7:10" x14ac:dyDescent="0.2">
      <c r="G33" s="34" t="s">
        <v>380</v>
      </c>
      <c r="H33">
        <v>5</v>
      </c>
      <c r="I33">
        <v>3</v>
      </c>
      <c r="J33">
        <v>1</v>
      </c>
    </row>
    <row r="34" spans="7:10" x14ac:dyDescent="0.2">
      <c r="G34" s="34" t="s">
        <v>381</v>
      </c>
      <c r="H34">
        <v>5</v>
      </c>
      <c r="I34">
        <v>3</v>
      </c>
      <c r="J34">
        <v>1</v>
      </c>
    </row>
    <row r="35" spans="7:10" x14ac:dyDescent="0.2">
      <c r="G35" s="34" t="s">
        <v>382</v>
      </c>
      <c r="H35">
        <v>5</v>
      </c>
      <c r="I35">
        <v>3</v>
      </c>
      <c r="J35">
        <v>1</v>
      </c>
    </row>
    <row r="36" spans="7:10" x14ac:dyDescent="0.2">
      <c r="G36" s="34" t="s">
        <v>383</v>
      </c>
      <c r="H36">
        <v>5</v>
      </c>
      <c r="I36">
        <v>3</v>
      </c>
      <c r="J36">
        <v>1</v>
      </c>
    </row>
    <row r="37" spans="7:10" x14ac:dyDescent="0.2">
      <c r="G37" s="34" t="s">
        <v>384</v>
      </c>
      <c r="H37">
        <v>5</v>
      </c>
      <c r="I37">
        <v>3</v>
      </c>
      <c r="J37">
        <v>1</v>
      </c>
    </row>
    <row r="39" spans="7:10" x14ac:dyDescent="0.2">
      <c r="G39" s="34"/>
    </row>
  </sheetData>
  <phoneticPr fontId="21" type="noConversion"/>
  <conditionalFormatting sqref="B15">
    <cfRule type="expression" dxfId="23" priority="59">
      <formula>ODD(B15)</formula>
    </cfRule>
  </conditionalFormatting>
  <conditionalFormatting sqref="B26:B27">
    <cfRule type="cellIs" dxfId="22" priority="47" operator="equal">
      <formula>2</formula>
    </cfRule>
  </conditionalFormatting>
  <conditionalFormatting sqref="B2:C2">
    <cfRule type="aboveAverage" dxfId="21" priority="115"/>
  </conditionalFormatting>
  <conditionalFormatting sqref="B3:C3">
    <cfRule type="beginsWith" dxfId="20" priority="74" operator="beginsWith" text="rule">
      <formula>LEFT(B3,LEN("rule"))="rule"</formula>
    </cfRule>
  </conditionalFormatting>
  <conditionalFormatting sqref="B4:C4">
    <cfRule type="containsBlanks" dxfId="19" priority="72">
      <formula>LEN(TRIM(B4))=0</formula>
    </cfRule>
  </conditionalFormatting>
  <conditionalFormatting sqref="B5:C5">
    <cfRule type="containsErrors" dxfId="18" priority="71">
      <formula>ISERROR(B5)</formula>
    </cfRule>
  </conditionalFormatting>
  <conditionalFormatting sqref="B6:C6">
    <cfRule type="containsText" dxfId="17" priority="70" operator="containsText" text="rule">
      <formula>NOT(ISERROR(SEARCH("rule",B6)))</formula>
    </cfRule>
  </conditionalFormatting>
  <conditionalFormatting sqref="B8:C8">
    <cfRule type="endsWith" dxfId="16" priority="68" operator="endsWith" text="rule">
      <formula>RIGHT(B8,LEN("rule"))="rule"</formula>
    </cfRule>
  </conditionalFormatting>
  <conditionalFormatting sqref="B9:C9">
    <cfRule type="notContainsBlanks" dxfId="15" priority="67">
      <formula>LEN(TRIM(B9))&gt;0</formula>
    </cfRule>
  </conditionalFormatting>
  <conditionalFormatting sqref="B10:C10">
    <cfRule type="notContainsErrors" dxfId="14" priority="66">
      <formula>NOT(ISERROR(B10))</formula>
    </cfRule>
  </conditionalFormatting>
  <conditionalFormatting sqref="B11:C11">
    <cfRule type="notContainsText" dxfId="13" priority="65" operator="notContains" text="rule">
      <formula>ISERROR(SEARCH("rule",B11))</formula>
    </cfRule>
  </conditionalFormatting>
  <conditionalFormatting sqref="B12:C12">
    <cfRule type="timePeriod" dxfId="12" priority="64" timePeriod="today">
      <formula>FLOOR(B12,1)=TODAY()</formula>
    </cfRule>
  </conditionalFormatting>
  <conditionalFormatting sqref="B13:C13">
    <cfRule type="top10" dxfId="11" priority="116" percent="1" bottom="1" rank="50"/>
  </conditionalFormatting>
  <conditionalFormatting sqref="B16:C16">
    <cfRule type="cellIs" dxfId="10" priority="46" operator="equal">
      <formula>2</formula>
    </cfRule>
  </conditionalFormatting>
  <conditionalFormatting sqref="B17:C17">
    <cfRule type="cellIs" dxfId="9" priority="57" operator="notEqual">
      <formula>2</formula>
    </cfRule>
  </conditionalFormatting>
  <conditionalFormatting sqref="B18:C18">
    <cfRule type="cellIs" dxfId="8" priority="7" operator="greaterThan">
      <formula>2</formula>
    </cfRule>
  </conditionalFormatting>
  <conditionalFormatting sqref="B19:C19">
    <cfRule type="cellIs" dxfId="7" priority="6" operator="greaterThanOrEqual">
      <formula>2</formula>
    </cfRule>
  </conditionalFormatting>
  <conditionalFormatting sqref="B20:C20">
    <cfRule type="cellIs" dxfId="6" priority="5" operator="lessThan">
      <formula>2</formula>
    </cfRule>
  </conditionalFormatting>
  <conditionalFormatting sqref="B21:C21">
    <cfRule type="cellIs" dxfId="5" priority="4" operator="lessThanOrEqual">
      <formula>2</formula>
    </cfRule>
  </conditionalFormatting>
  <conditionalFormatting sqref="B22:C22">
    <cfRule type="cellIs" dxfId="4" priority="3" operator="between">
      <formula>2</formula>
      <formula>4</formula>
    </cfRule>
  </conditionalFormatting>
  <conditionalFormatting sqref="B23:C23">
    <cfRule type="cellIs" dxfId="3" priority="2" operator="notBetween">
      <formula>2</formula>
      <formula>4</formula>
    </cfRule>
  </conditionalFormatting>
  <conditionalFormatting sqref="B24:C24">
    <cfRule type="dataBar" priority="10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{88E4E898-A83E-4EE8-B4ED-3339A906DC10}</x14:id>
        </ext>
      </extLst>
    </cfRule>
  </conditionalFormatting>
  <conditionalFormatting sqref="B25:C25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{C2002CEC-3733-4955-A6B6-FF982F2050DC}</x14:id>
        </ext>
      </extLst>
    </cfRule>
  </conditionalFormatting>
  <conditionalFormatting sqref="B29:C29">
    <cfRule type="cellIs" dxfId="2" priority="1" operator="between">
      <formula>$B$23</formula>
      <formula>2+2</formula>
    </cfRule>
  </conditionalFormatting>
  <conditionalFormatting sqref="B7:D7">
    <cfRule type="duplicateValues" dxfId="1" priority="83"/>
  </conditionalFormatting>
  <conditionalFormatting sqref="B14:D14">
    <cfRule type="uniqueValues" dxfId="0" priority="97"/>
  </conditionalFormatting>
  <conditionalFormatting sqref="H2:J2">
    <cfRule type="colorScale" priority="45">
      <colorScale>
        <cfvo type="min"/>
        <cfvo type="max"/>
        <color theme="5"/>
        <color theme="7"/>
      </colorScale>
    </cfRule>
  </conditionalFormatting>
  <conditionalFormatting sqref="H3:J3">
    <cfRule type="colorScale" priority="43">
      <colorScale>
        <cfvo type="min"/>
        <cfvo type="percentile" val="50"/>
        <cfvo type="max"/>
        <color theme="5"/>
        <color rgb="FFF69E19"/>
        <color theme="7"/>
      </colorScale>
    </cfRule>
  </conditionalFormatting>
  <conditionalFormatting sqref="H4:J4">
    <cfRule type="colorScale" priority="42">
      <colorScale>
        <cfvo type="num" val="1"/>
        <cfvo type="num" val="5"/>
        <color theme="5"/>
        <color theme="7"/>
      </colorScale>
    </cfRule>
  </conditionalFormatting>
  <conditionalFormatting sqref="H5:J5">
    <cfRule type="colorScale" priority="41">
      <colorScale>
        <cfvo type="percent" val="10"/>
        <cfvo type="percent" val="90"/>
        <color theme="5"/>
        <color theme="7"/>
      </colorScale>
    </cfRule>
  </conditionalFormatting>
  <conditionalFormatting sqref="H6:J6">
    <cfRule type="colorScale" priority="40">
      <colorScale>
        <cfvo type="percentile" val="10"/>
        <cfvo type="percentile" val="90"/>
        <color theme="5"/>
        <color theme="7"/>
      </colorScale>
    </cfRule>
  </conditionalFormatting>
  <conditionalFormatting sqref="H7:J7">
    <cfRule type="colorScale" priority="38">
      <colorScale>
        <cfvo type="formula" val="$J$6"/>
        <cfvo type="formula" val="$H$6"/>
        <color theme="5"/>
        <color theme="7"/>
      </colorScale>
    </cfRule>
  </conditionalFormatting>
  <conditionalFormatting sqref="H11:J11">
    <cfRule type="iconSet" priority="37">
      <iconSet iconSet="3Arrows">
        <cfvo type="percent" val="0"/>
        <cfvo type="percent" val="33"/>
        <cfvo type="percent" val="67"/>
      </iconSet>
    </cfRule>
  </conditionalFormatting>
  <conditionalFormatting sqref="H12:J12">
    <cfRule type="iconSet" priority="36">
      <iconSet iconSet="3ArrowsGray">
        <cfvo type="percent" val="0"/>
        <cfvo type="num" val="2"/>
        <cfvo type="num" val="4"/>
      </iconSet>
    </cfRule>
  </conditionalFormatting>
  <conditionalFormatting sqref="H13:J13">
    <cfRule type="iconSet" priority="35">
      <iconSet iconSet="3Flags">
        <cfvo type="percent" val="0"/>
        <cfvo type="percentile" val="33"/>
        <cfvo type="percentile" val="67"/>
      </iconSet>
    </cfRule>
  </conditionalFormatting>
  <conditionalFormatting sqref="H14:J14">
    <cfRule type="iconSet" priority="34">
      <iconSet>
        <cfvo type="percent" val="0"/>
        <cfvo type="formula" val="$I$14"/>
        <cfvo type="formula" val="$H$14"/>
      </iconSet>
    </cfRule>
  </conditionalFormatting>
  <conditionalFormatting sqref="H15:J15">
    <cfRule type="iconSet" priority="33">
      <iconSet iconSet="3TrafficLights2">
        <cfvo type="percent" val="0"/>
        <cfvo type="percent" val="33"/>
        <cfvo type="percent" val="67"/>
      </iconSet>
    </cfRule>
  </conditionalFormatting>
  <conditionalFormatting sqref="H16:J16">
    <cfRule type="iconSet" priority="32">
      <iconSet iconSet="3Signs">
        <cfvo type="percent" val="0"/>
        <cfvo type="percent" val="33"/>
        <cfvo type="percent" val="67"/>
      </iconSet>
    </cfRule>
  </conditionalFormatting>
  <conditionalFormatting sqref="H17:J17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H18:J18">
    <cfRule type="iconSet" priority="30">
      <iconSet iconSet="3Symbols2">
        <cfvo type="percent" val="0"/>
        <cfvo type="percent" val="33"/>
        <cfvo type="percent" val="67"/>
      </iconSet>
    </cfRule>
  </conditionalFormatting>
  <conditionalFormatting sqref="H32:J32">
    <cfRule type="iconSet" priority="29">
      <iconSet iconSet="3Arrows" reverse="1">
        <cfvo type="percent" val="0"/>
        <cfvo type="percent" val="33"/>
        <cfvo type="percent" val="67"/>
      </iconSet>
    </cfRule>
  </conditionalFormatting>
  <conditionalFormatting sqref="H33:J33">
    <cfRule type="iconSet" priority="28">
      <iconSet iconSet="3Arrows" showValue="0">
        <cfvo type="percent" val="0"/>
        <cfvo type="percent" val="33"/>
        <cfvo type="percent" val="67"/>
      </iconSet>
    </cfRule>
  </conditionalFormatting>
  <conditionalFormatting sqref="H34:J34">
    <cfRule type="iconSet" priority="27">
      <iconSet iconSet="3Arrows">
        <cfvo type="percent" val="0"/>
        <cfvo type="percent" val="0" gte="0"/>
        <cfvo type="percent" val="100" gte="0"/>
      </iconSet>
    </cfRule>
  </conditionalFormatting>
  <conditionalFormatting sqref="H21:K21">
    <cfRule type="iconSet" priority="19">
      <iconSet iconSet="4Arrows">
        <cfvo type="percent" val="0"/>
        <cfvo type="percent" val="25"/>
        <cfvo type="percent" val="50"/>
        <cfvo type="percent" val="75"/>
      </iconSet>
    </cfRule>
  </conditionalFormatting>
  <conditionalFormatting sqref="H22:K22">
    <cfRule type="iconSet" priority="18">
      <iconSet iconSet="4ArrowsGray">
        <cfvo type="percent" val="0"/>
        <cfvo type="percent" val="25"/>
        <cfvo type="percent" val="50"/>
        <cfvo type="percent" val="75"/>
      </iconSet>
    </cfRule>
  </conditionalFormatting>
  <conditionalFormatting sqref="H23:K23">
    <cfRule type="iconSet" priority="17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H24:K24">
    <cfRule type="iconSet" priority="16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25:K25">
    <cfRule type="iconSet" priority="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H26:L26">
    <cfRule type="iconSet" priority="14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H27:L27">
    <cfRule type="iconSet" priority="13">
      <iconSet iconSet="5ArrowsGray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H28:L28">
    <cfRule type="iconSet" priority="12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H29:L29">
    <cfRule type="iconSet" priority="1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E4E898-A83E-4EE8-B4ED-3339A906DC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B24:C24</xm:sqref>
        </x14:conditionalFormatting>
        <x14:conditionalFormatting xmlns:xm="http://schemas.microsoft.com/office/excel/2006/main">
          <x14:cfRule type="dataBar" id="{C2002CEC-3733-4955-A6B6-FF982F2050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B25:C25</xm:sqref>
        </x14:conditionalFormatting>
        <x14:conditionalFormatting xmlns:xm="http://schemas.microsoft.com/office/excel/2006/main">
          <x14:cfRule type="iconSet" priority="21" id="{0776DCAB-3210-41C4-A113-32FD4847A5E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H19:J19</xm:sqref>
        </x14:conditionalFormatting>
        <x14:conditionalFormatting xmlns:xm="http://schemas.microsoft.com/office/excel/2006/main">
          <x14:cfRule type="iconSet" priority="20" id="{367C8C3A-A19C-489B-B02C-135E717D92A5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H20:J20</xm:sqref>
        </x14:conditionalFormatting>
        <x14:conditionalFormatting xmlns:xm="http://schemas.microsoft.com/office/excel/2006/main">
          <x14:cfRule type="iconSet" priority="9" id="{2F0448E0-FD4B-4CC6-8AFB-1FCD78ED3F40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NoIcons" iconId="0"/>
            </x14:iconSet>
          </x14:cfRule>
          <xm:sqref>H31:J31</xm:sqref>
        </x14:conditionalFormatting>
        <x14:conditionalFormatting xmlns:xm="http://schemas.microsoft.com/office/excel/2006/main">
          <x14:cfRule type="iconSet" priority="26" id="{EDB615C5-C26E-42E3-8D7C-CFC96E348794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TrafficLights1" iconId="1"/>
              <x14:cfIcon iconSet="3TrafficLights1" iconId="2"/>
            </x14:iconSet>
          </x14:cfRule>
          <xm:sqref>H35:J35</xm:sqref>
        </x14:conditionalFormatting>
        <x14:conditionalFormatting xmlns:xm="http://schemas.microsoft.com/office/excel/2006/main">
          <x14:cfRule type="iconSet" priority="25" id="{3673FAEE-9C58-4DC2-8FFB-38004FA3122F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3TrafficLights1" iconId="2"/>
            </x14:iconSet>
          </x14:cfRule>
          <xm:sqref>H36:J36</xm:sqref>
        </x14:conditionalFormatting>
        <x14:conditionalFormatting xmlns:xm="http://schemas.microsoft.com/office/excel/2006/main">
          <x14:cfRule type="iconSet" priority="24" id="{BEA8CADB-6314-47A4-B945-05492B4E899C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H37:J37</xm:sqref>
        </x14:conditionalFormatting>
        <x14:conditionalFormatting xmlns:xm="http://schemas.microsoft.com/office/excel/2006/main">
          <x14:cfRule type="iconSet" priority="10" id="{DD78C548-721C-42F8-BA23-99215A699C4C}">
            <x14:iconSet iconSet="5Boxes">
              <x14:cfvo type="percent">
                <xm:f>0</xm:f>
              </x14:cfvo>
              <x14:cfvo type="percent">
                <xm:f>20</xm:f>
              </x14:cfvo>
              <x14:cfvo type="percent">
                <xm:f>40</xm:f>
              </x14:cfvo>
              <x14:cfvo type="percent">
                <xm:f>60</xm:f>
              </x14:cfvo>
              <x14:cfvo type="percent">
                <xm:f>80</xm:f>
              </x14:cfvo>
            </x14:iconSet>
          </x14:cfRule>
          <xm:sqref>H30:L30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C4B1-5C65-4837-AA26-56CCF06B63BB}">
  <dimension ref="A1:J34"/>
  <sheetViews>
    <sheetView zoomScale="115" zoomScaleNormal="115" workbookViewId="0">
      <selection activeCell="F22" sqref="F22"/>
    </sheetView>
  </sheetViews>
  <sheetFormatPr defaultColWidth="9.140625" defaultRowHeight="12.75" x14ac:dyDescent="0.2"/>
  <cols>
    <col min="3" max="3" width="17.140625" customWidth="1"/>
    <col min="4" max="4" width="9.5703125" customWidth="1"/>
    <col min="5" max="5" width="26.42578125" customWidth="1"/>
    <col min="6" max="6" width="27.5703125" customWidth="1"/>
    <col min="7" max="7" width="23.5703125" customWidth="1"/>
    <col min="8" max="8" width="16.140625" customWidth="1"/>
    <col min="9" max="9" width="18.85546875" customWidth="1"/>
    <col min="10" max="10" width="17.140625" customWidth="1"/>
  </cols>
  <sheetData>
    <row r="1" spans="1:10" x14ac:dyDescent="0.2">
      <c r="A1" t="s">
        <v>385</v>
      </c>
    </row>
    <row r="3" spans="1:10" ht="15" x14ac:dyDescent="0.2">
      <c r="C3" s="17" t="s">
        <v>35</v>
      </c>
      <c r="D3" s="17" t="s">
        <v>36</v>
      </c>
      <c r="E3" s="17" t="s">
        <v>386</v>
      </c>
      <c r="F3" s="17" t="s">
        <v>387</v>
      </c>
      <c r="G3" s="17" t="s">
        <v>388</v>
      </c>
      <c r="H3" s="17" t="s">
        <v>389</v>
      </c>
      <c r="I3" s="17" t="s">
        <v>390</v>
      </c>
      <c r="J3" s="17" t="s">
        <v>391</v>
      </c>
    </row>
    <row r="4" spans="1:10" x14ac:dyDescent="0.2">
      <c r="C4" s="109" t="s">
        <v>42</v>
      </c>
      <c r="D4" s="109">
        <v>26</v>
      </c>
      <c r="E4" s="109">
        <v>5</v>
      </c>
      <c r="F4" s="109">
        <f>Table3[[#This Row],[Rank]]+Table3[[#This Row],[Age]]</f>
        <v>31</v>
      </c>
      <c r="G4" s="109">
        <f>SUM(Table3[Rank])</f>
        <v>12</v>
      </c>
      <c r="H4" s="109">
        <f>SUM(Table3[[#All],[Rank]])</f>
        <v>24</v>
      </c>
      <c r="I4" s="109">
        <f>Table3[[#Totals],[Rank]]</f>
        <v>12</v>
      </c>
      <c r="J4" s="109" t="str">
        <f>Table3[[#Headers],[Rank]]</f>
        <v>Rank</v>
      </c>
    </row>
    <row r="5" spans="1:10" x14ac:dyDescent="0.2">
      <c r="C5" s="109" t="s">
        <v>44</v>
      </c>
      <c r="D5" s="109">
        <v>13</v>
      </c>
      <c r="E5" s="109">
        <v>7</v>
      </c>
      <c r="F5" s="109">
        <f>Table3[[#This Row],[Rank]]+Table3[[#This Row],[Age]]</f>
        <v>20</v>
      </c>
      <c r="G5" s="109">
        <f>SUM(Table3[Rank])</f>
        <v>12</v>
      </c>
      <c r="H5" s="109">
        <f>SUM(Table3[[#All],[Rank]])</f>
        <v>24</v>
      </c>
      <c r="I5" s="109">
        <f>Table3[[#Totals],[Rank]]</f>
        <v>12</v>
      </c>
      <c r="J5" s="109" t="str">
        <f>Table3[[#Headers],[Rank]]</f>
        <v>Rank</v>
      </c>
    </row>
    <row r="6" spans="1:10" x14ac:dyDescent="0.2">
      <c r="C6" s="109" t="s">
        <v>392</v>
      </c>
      <c r="D6" s="109">
        <f>SUBTOTAL(109,Table3[Age])</f>
        <v>39</v>
      </c>
      <c r="E6" s="109">
        <f>SUBTOTAL(109,Table3[Rank])</f>
        <v>12</v>
      </c>
      <c r="F6" s="109">
        <f>SUBTOTAL(109,Table3[Rank+Age =E4+D4])</f>
        <v>51</v>
      </c>
      <c r="G6" s="109">
        <f>SUBTOTAL(109,Table3[Data =SUM(E4:E5)])</f>
        <v>24</v>
      </c>
      <c r="H6" s="109">
        <f>SUBTOTAL(109,Table3[All =SUM(E3:E6)])</f>
        <v>48</v>
      </c>
      <c r="I6" s="109">
        <f>SUBTOTAL(109,Table3[Totals =E6])</f>
        <v>24</v>
      </c>
      <c r="J6" s="109">
        <f>SUBTOTAL(109,Table3[Headers =E3])</f>
        <v>0</v>
      </c>
    </row>
    <row r="8" spans="1:10" x14ac:dyDescent="0.2">
      <c r="B8" t="s">
        <v>393</v>
      </c>
      <c r="C8">
        <v>1</v>
      </c>
      <c r="D8">
        <v>2</v>
      </c>
      <c r="F8" t="s">
        <v>394</v>
      </c>
      <c r="G8" t="s">
        <v>395</v>
      </c>
      <c r="H8" t="s">
        <v>396</v>
      </c>
      <c r="I8" t="s">
        <v>397</v>
      </c>
      <c r="J8" t="s">
        <v>398</v>
      </c>
    </row>
    <row r="9" spans="1:10" x14ac:dyDescent="0.2">
      <c r="C9">
        <v>3</v>
      </c>
      <c r="D9">
        <v>4</v>
      </c>
      <c r="F9">
        <f>SUM(Table3[#All])</f>
        <v>396</v>
      </c>
      <c r="G9">
        <f>SUM(Table10[Col2])</f>
        <v>15</v>
      </c>
      <c r="H9">
        <f>SUM(Table3[[#Totals],[Age]:[Rank]])</f>
        <v>51</v>
      </c>
      <c r="I9">
        <f>SUM(Table3[[Age]:[Rank]])</f>
        <v>51</v>
      </c>
      <c r="J9">
        <f>SUM(Table3[[#Data],[#Totals],[Rank]])</f>
        <v>24</v>
      </c>
    </row>
    <row r="11" spans="1:10" x14ac:dyDescent="0.2">
      <c r="B11" t="s">
        <v>399</v>
      </c>
      <c r="C11" t="s">
        <v>400</v>
      </c>
      <c r="D11" t="s">
        <v>401</v>
      </c>
    </row>
    <row r="12" spans="1:10" x14ac:dyDescent="0.2">
      <c r="C12">
        <v>3</v>
      </c>
      <c r="D12">
        <v>4</v>
      </c>
    </row>
    <row r="14" spans="1:10" x14ac:dyDescent="0.2">
      <c r="B14" t="s">
        <v>402</v>
      </c>
      <c r="C14">
        <v>1</v>
      </c>
      <c r="D14">
        <v>2</v>
      </c>
    </row>
    <row r="15" spans="1:10" x14ac:dyDescent="0.2">
      <c r="C15">
        <v>3</v>
      </c>
      <c r="D15">
        <v>4</v>
      </c>
    </row>
    <row r="17" spans="2:4" x14ac:dyDescent="0.2">
      <c r="B17" t="s">
        <v>403</v>
      </c>
      <c r="C17">
        <v>1</v>
      </c>
      <c r="D17">
        <v>2</v>
      </c>
    </row>
    <row r="18" spans="2:4" x14ac:dyDescent="0.2">
      <c r="C18">
        <v>3</v>
      </c>
      <c r="D18">
        <v>4</v>
      </c>
    </row>
    <row r="20" spans="2:4" x14ac:dyDescent="0.2">
      <c r="B20" t="s">
        <v>404</v>
      </c>
      <c r="C20">
        <v>1</v>
      </c>
      <c r="D20">
        <v>2</v>
      </c>
    </row>
    <row r="21" spans="2:4" x14ac:dyDescent="0.2">
      <c r="C21">
        <v>3</v>
      </c>
      <c r="D21">
        <v>4</v>
      </c>
    </row>
    <row r="23" spans="2:4" x14ac:dyDescent="0.2">
      <c r="B23" t="s">
        <v>405</v>
      </c>
      <c r="C23">
        <v>1</v>
      </c>
      <c r="D23">
        <v>2</v>
      </c>
    </row>
    <row r="24" spans="2:4" x14ac:dyDescent="0.2">
      <c r="C24">
        <v>3</v>
      </c>
      <c r="D24">
        <v>4</v>
      </c>
    </row>
    <row r="26" spans="2:4" x14ac:dyDescent="0.2">
      <c r="B26" t="s">
        <v>406</v>
      </c>
      <c r="C26">
        <v>1</v>
      </c>
      <c r="D26">
        <v>2</v>
      </c>
    </row>
    <row r="27" spans="2:4" x14ac:dyDescent="0.2">
      <c r="C27">
        <v>3</v>
      </c>
      <c r="D27">
        <v>4</v>
      </c>
    </row>
    <row r="28" spans="2:4" x14ac:dyDescent="0.2">
      <c r="C28" t="s">
        <v>392</v>
      </c>
      <c r="D28">
        <f>SUBTOTAL(109,Table4910[Column2])</f>
        <v>6</v>
      </c>
    </row>
    <row r="30" spans="2:4" x14ac:dyDescent="0.2">
      <c r="B30" t="s">
        <v>407</v>
      </c>
      <c r="C30" t="s">
        <v>408</v>
      </c>
      <c r="D30" t="s">
        <v>409</v>
      </c>
    </row>
    <row r="31" spans="2:4" hidden="1" x14ac:dyDescent="0.2">
      <c r="C31" t="s">
        <v>410</v>
      </c>
      <c r="D31" t="s">
        <v>410</v>
      </c>
    </row>
    <row r="32" spans="2:4" x14ac:dyDescent="0.2">
      <c r="C32" t="s">
        <v>411</v>
      </c>
      <c r="D32" t="s">
        <v>411</v>
      </c>
    </row>
    <row r="34" spans="2:2" x14ac:dyDescent="0.2">
      <c r="B34" t="s">
        <v>412</v>
      </c>
    </row>
  </sheetData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24F2-4D06-4586-886C-E51F5EBCA7B0}">
  <dimension ref="A1:L21"/>
  <sheetViews>
    <sheetView workbookViewId="0">
      <selection activeCell="J32" sqref="J32"/>
    </sheetView>
  </sheetViews>
  <sheetFormatPr defaultColWidth="9.140625" defaultRowHeight="12.75" x14ac:dyDescent="0.2"/>
  <cols>
    <col min="3" max="3" width="13.140625" bestFit="1" customWidth="1"/>
    <col min="4" max="4" width="14.5703125" bestFit="1" customWidth="1"/>
    <col min="5" max="6" width="6" bestFit="1" customWidth="1"/>
    <col min="7" max="7" width="7" bestFit="1" customWidth="1"/>
    <col min="8" max="8" width="5" bestFit="1" customWidth="1"/>
    <col min="9" max="10" width="7" bestFit="1" customWidth="1"/>
    <col min="11" max="11" width="6" bestFit="1" customWidth="1"/>
    <col min="12" max="12" width="10" bestFit="1" customWidth="1"/>
    <col min="13" max="13" width="14.85546875" bestFit="1" customWidth="1"/>
    <col min="14" max="14" width="9.85546875" bestFit="1" customWidth="1"/>
    <col min="15" max="15" width="14.85546875" bestFit="1" customWidth="1"/>
    <col min="16" max="16" width="9.85546875" bestFit="1" customWidth="1"/>
    <col min="17" max="17" width="14.85546875" bestFit="1" customWidth="1"/>
    <col min="18" max="18" width="9.85546875" bestFit="1" customWidth="1"/>
    <col min="19" max="19" width="14.85546875" bestFit="1" customWidth="1"/>
    <col min="20" max="20" width="14.140625" bestFit="1" customWidth="1"/>
    <col min="21" max="21" width="19.140625" bestFit="1" customWidth="1"/>
  </cols>
  <sheetData>
    <row r="1" spans="1:12" ht="15" x14ac:dyDescent="0.2">
      <c r="A1" s="92" t="s">
        <v>413</v>
      </c>
      <c r="B1" s="17"/>
      <c r="C1" s="17"/>
      <c r="D1" s="17"/>
      <c r="E1" s="17"/>
      <c r="F1" s="17"/>
    </row>
    <row r="2" spans="1:12" x14ac:dyDescent="0.2">
      <c r="A2" s="109"/>
      <c r="B2" s="109"/>
      <c r="C2" s="109"/>
      <c r="D2" s="109"/>
      <c r="E2" s="109"/>
      <c r="F2" s="109"/>
    </row>
    <row r="3" spans="1:12" x14ac:dyDescent="0.2">
      <c r="A3" s="109"/>
      <c r="B3" s="109"/>
      <c r="C3" s="89" t="s">
        <v>414</v>
      </c>
      <c r="D3" s="89" t="s">
        <v>415</v>
      </c>
    </row>
    <row r="4" spans="1:12" x14ac:dyDescent="0.2">
      <c r="A4" s="109"/>
      <c r="B4" s="109"/>
      <c r="C4" s="89" t="s">
        <v>416</v>
      </c>
      <c r="D4">
        <v>12.1</v>
      </c>
      <c r="E4">
        <v>252.4</v>
      </c>
      <c r="F4">
        <v>500.9</v>
      </c>
      <c r="G4">
        <v>1204.7</v>
      </c>
      <c r="H4">
        <v>4000</v>
      </c>
      <c r="I4">
        <v>4701.3</v>
      </c>
      <c r="J4">
        <v>4890.1000000000004</v>
      </c>
      <c r="K4">
        <v>12052</v>
      </c>
      <c r="L4" t="s">
        <v>417</v>
      </c>
    </row>
    <row r="5" spans="1:12" x14ac:dyDescent="0.2">
      <c r="A5" s="109"/>
      <c r="B5" s="109"/>
      <c r="C5" s="90" t="s">
        <v>55</v>
      </c>
      <c r="K5">
        <v>30</v>
      </c>
      <c r="L5">
        <v>30</v>
      </c>
    </row>
    <row r="6" spans="1:12" x14ac:dyDescent="0.2">
      <c r="A6" s="109"/>
      <c r="B6" s="109"/>
      <c r="C6" s="91">
        <v>256018</v>
      </c>
      <c r="K6">
        <v>30</v>
      </c>
      <c r="L6">
        <v>30</v>
      </c>
    </row>
    <row r="7" spans="1:12" x14ac:dyDescent="0.2">
      <c r="A7" s="109"/>
      <c r="B7" s="109"/>
      <c r="C7" s="90" t="s">
        <v>46</v>
      </c>
      <c r="E7">
        <v>26</v>
      </c>
      <c r="L7">
        <v>26</v>
      </c>
    </row>
    <row r="8" spans="1:12" x14ac:dyDescent="0.2">
      <c r="A8" s="109"/>
      <c r="B8" s="109"/>
      <c r="C8" s="91">
        <v>110120.5</v>
      </c>
      <c r="E8">
        <v>26</v>
      </c>
      <c r="L8">
        <v>26</v>
      </c>
    </row>
    <row r="9" spans="1:12" x14ac:dyDescent="0.2">
      <c r="A9" s="109"/>
      <c r="B9" s="109"/>
      <c r="C9" s="90" t="s">
        <v>42</v>
      </c>
      <c r="G9">
        <v>26</v>
      </c>
      <c r="L9">
        <v>26</v>
      </c>
    </row>
    <row r="10" spans="1:12" x14ac:dyDescent="0.2">
      <c r="A10" s="109"/>
      <c r="B10" s="109"/>
      <c r="C10" s="91">
        <v>25618</v>
      </c>
      <c r="G10">
        <v>26</v>
      </c>
      <c r="L10">
        <v>26</v>
      </c>
    </row>
    <row r="11" spans="1:12" x14ac:dyDescent="0.2">
      <c r="C11" s="90" t="s">
        <v>44</v>
      </c>
      <c r="F11">
        <v>13</v>
      </c>
      <c r="L11">
        <v>13</v>
      </c>
    </row>
    <row r="12" spans="1:12" x14ac:dyDescent="0.2">
      <c r="C12" s="91">
        <v>23000</v>
      </c>
      <c r="F12">
        <v>13</v>
      </c>
      <c r="L12">
        <v>13</v>
      </c>
    </row>
    <row r="13" spans="1:12" x14ac:dyDescent="0.2">
      <c r="C13" s="90" t="s">
        <v>50</v>
      </c>
      <c r="D13">
        <v>9</v>
      </c>
      <c r="L13">
        <v>9</v>
      </c>
    </row>
    <row r="14" spans="1:12" x14ac:dyDescent="0.2">
      <c r="C14" s="91">
        <v>2</v>
      </c>
      <c r="D14">
        <v>9</v>
      </c>
      <c r="L14">
        <v>9</v>
      </c>
    </row>
    <row r="15" spans="1:12" x14ac:dyDescent="0.2">
      <c r="C15" s="90" t="s">
        <v>48</v>
      </c>
      <c r="I15">
        <v>42</v>
      </c>
      <c r="L15">
        <v>42</v>
      </c>
    </row>
    <row r="16" spans="1:12" x14ac:dyDescent="0.2">
      <c r="C16" s="91">
        <v>50024</v>
      </c>
      <c r="I16">
        <v>42</v>
      </c>
      <c r="L16">
        <v>42</v>
      </c>
    </row>
    <row r="17" spans="3:12" x14ac:dyDescent="0.2">
      <c r="C17" s="90" t="s">
        <v>53</v>
      </c>
      <c r="H17">
        <v>27</v>
      </c>
      <c r="L17">
        <v>27</v>
      </c>
    </row>
    <row r="18" spans="3:12" x14ac:dyDescent="0.2">
      <c r="C18" s="91">
        <v>189576</v>
      </c>
      <c r="H18">
        <v>27</v>
      </c>
      <c r="L18">
        <v>27</v>
      </c>
    </row>
    <row r="19" spans="3:12" x14ac:dyDescent="0.2">
      <c r="C19" s="90" t="s">
        <v>57</v>
      </c>
      <c r="J19">
        <v>37</v>
      </c>
      <c r="L19">
        <v>37</v>
      </c>
    </row>
    <row r="20" spans="3:12" x14ac:dyDescent="0.2">
      <c r="C20" s="91">
        <v>5000</v>
      </c>
      <c r="J20">
        <v>37</v>
      </c>
      <c r="L20">
        <v>37</v>
      </c>
    </row>
    <row r="21" spans="3:12" x14ac:dyDescent="0.2">
      <c r="C21" s="90" t="s">
        <v>417</v>
      </c>
      <c r="D21">
        <v>9</v>
      </c>
      <c r="E21">
        <v>26</v>
      </c>
      <c r="F21">
        <v>13</v>
      </c>
      <c r="G21">
        <v>26</v>
      </c>
      <c r="H21">
        <v>27</v>
      </c>
      <c r="I21">
        <v>42</v>
      </c>
      <c r="J21">
        <v>37</v>
      </c>
      <c r="K21">
        <v>30</v>
      </c>
      <c r="L21">
        <v>210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BF70-BA80-4124-B359-67CBCB635390}">
  <dimension ref="A1:B4"/>
  <sheetViews>
    <sheetView tabSelected="1" topLeftCell="E31" zoomScaleNormal="100" workbookViewId="0">
      <selection activeCell="S52" sqref="S52"/>
    </sheetView>
  </sheetViews>
  <sheetFormatPr defaultColWidth="13.85546875" defaultRowHeight="12.75" x14ac:dyDescent="0.2"/>
  <cols>
    <col min="1" max="1" width="65.140625" customWidth="1"/>
    <col min="2" max="26" width="13.85546875" customWidth="1"/>
  </cols>
  <sheetData>
    <row r="1" spans="1:2" x14ac:dyDescent="0.2">
      <c r="A1" t="s">
        <v>418</v>
      </c>
    </row>
    <row r="2" spans="1:2" x14ac:dyDescent="0.2">
      <c r="A2" t="s">
        <v>419</v>
      </c>
      <c r="B2" s="109"/>
    </row>
    <row r="3" spans="1:2" x14ac:dyDescent="0.2">
      <c r="A3" t="s">
        <v>420</v>
      </c>
    </row>
    <row r="4" spans="1:2" x14ac:dyDescent="0.2">
      <c r="A4" t="s">
        <v>421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1E21-0350-44E7-AF13-4CA140505B30}">
  <dimension ref="A1:B12"/>
  <sheetViews>
    <sheetView showGridLines="0" workbookViewId="0">
      <selection activeCell="A4" sqref="A4"/>
    </sheetView>
  </sheetViews>
  <sheetFormatPr defaultColWidth="8.85546875" defaultRowHeight="12.75" x14ac:dyDescent="0.2"/>
  <sheetData>
    <row r="1" spans="1:2" ht="51" x14ac:dyDescent="0.2">
      <c r="A1" s="99" t="s">
        <v>422</v>
      </c>
      <c r="B1" t="s">
        <v>423</v>
      </c>
    </row>
    <row r="7" spans="1:2" x14ac:dyDescent="0.2">
      <c r="A7" t="s">
        <v>408</v>
      </c>
      <c r="B7" t="s">
        <v>409</v>
      </c>
    </row>
    <row r="8" spans="1:2" x14ac:dyDescent="0.2">
      <c r="A8">
        <v>1</v>
      </c>
      <c r="B8">
        <v>1</v>
      </c>
    </row>
    <row r="9" spans="1:2" x14ac:dyDescent="0.2">
      <c r="A9">
        <v>2</v>
      </c>
      <c r="B9">
        <v>2</v>
      </c>
    </row>
    <row r="10" spans="1:2" x14ac:dyDescent="0.2">
      <c r="A10">
        <v>3</v>
      </c>
      <c r="B10">
        <v>3</v>
      </c>
    </row>
    <row r="11" spans="1:2" x14ac:dyDescent="0.2">
      <c r="A11">
        <v>4</v>
      </c>
      <c r="B11">
        <v>4</v>
      </c>
    </row>
    <row r="12" spans="1:2" x14ac:dyDescent="0.2">
      <c r="A12">
        <v>5</v>
      </c>
      <c r="B12">
        <v>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A934C-2218-4A12-8B75-EE28D615D774}">
  <dimension ref="A1"/>
  <sheetViews>
    <sheetView topLeftCell="A3" workbookViewId="0">
      <selection sqref="A1:N21"/>
    </sheetView>
  </sheetViews>
  <sheetFormatPr defaultColWidth="8.85546875"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1BE1-D86D-4D45-870D-85A75D53FC99}">
  <dimension ref="A1"/>
  <sheetViews>
    <sheetView workbookViewId="0">
      <pane xSplit="5" ySplit="5" topLeftCell="F6" activePane="bottomRight" state="frozen"/>
      <selection pane="topRight" activeCell="H9" sqref="H9"/>
      <selection pane="bottomLeft" activeCell="H9" sqref="H9"/>
      <selection pane="bottomRight" activeCell="H9" sqref="H9"/>
    </sheetView>
  </sheetViews>
  <sheetFormatPr defaultColWidth="11.42578125"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A8834-0E20-4F80-8813-3ACA5527B377}">
  <dimension ref="A1"/>
  <sheetViews>
    <sheetView zoomScaleNormal="100" workbookViewId="0">
      <selection activeCell="A21" sqref="A21"/>
    </sheetView>
  </sheetViews>
  <sheetFormatPr defaultColWidth="13.85546875" defaultRowHeight="12.75" x14ac:dyDescent="0.2"/>
  <cols>
    <col min="1" max="1" width="65.140625" customWidth="1"/>
    <col min="2" max="26" width="13.85546875" customWidth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DE30-90F0-4479-AC28-0576838C0CFE}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2510-D243-4DA1-81DE-BBDDA9BC3681}">
  <dimension ref="A1:J6"/>
  <sheetViews>
    <sheetView workbookViewId="0">
      <selection activeCell="H16" sqref="H16"/>
    </sheetView>
  </sheetViews>
  <sheetFormatPr defaultColWidth="9" defaultRowHeight="12.75" x14ac:dyDescent="0.2"/>
  <cols>
    <col min="3" max="4" width="14.140625" customWidth="1"/>
    <col min="5" max="5" width="14.85546875" customWidth="1"/>
    <col min="7" max="7" width="14.140625" customWidth="1"/>
    <col min="8" max="8" width="20.140625" customWidth="1"/>
    <col min="9" max="9" width="17.140625" customWidth="1"/>
    <col min="10" max="10" width="18" bestFit="1" customWidth="1"/>
  </cols>
  <sheetData>
    <row r="1" spans="1:10" x14ac:dyDescent="0.2">
      <c r="A1" s="105" t="s">
        <v>424</v>
      </c>
      <c r="B1" s="106" t="s">
        <v>425</v>
      </c>
      <c r="C1" s="106" t="s">
        <v>426</v>
      </c>
      <c r="D1" s="106" t="s">
        <v>427</v>
      </c>
      <c r="E1" s="106" t="s">
        <v>428</v>
      </c>
      <c r="F1" s="106" t="s">
        <v>429</v>
      </c>
      <c r="G1" s="106" t="s">
        <v>430</v>
      </c>
      <c r="H1" s="106" t="s">
        <v>431</v>
      </c>
      <c r="I1" s="107" t="s">
        <v>432</v>
      </c>
      <c r="J1" s="104" t="s">
        <v>433</v>
      </c>
    </row>
    <row r="2" spans="1:10" x14ac:dyDescent="0.2">
      <c r="A2">
        <v>4</v>
      </c>
      <c r="B2">
        <v>99.5</v>
      </c>
      <c r="C2">
        <v>1</v>
      </c>
      <c r="D2" t="s">
        <v>434</v>
      </c>
      <c r="E2" s="39">
        <v>45575</v>
      </c>
      <c r="F2" s="108">
        <v>0.64583333333333337</v>
      </c>
      <c r="G2" s="108" t="s">
        <v>435</v>
      </c>
      <c r="H2" s="39">
        <v>45292</v>
      </c>
      <c r="I2">
        <v>4</v>
      </c>
      <c r="J2">
        <v>6</v>
      </c>
    </row>
    <row r="3" spans="1:10" x14ac:dyDescent="0.2">
      <c r="A3">
        <v>3</v>
      </c>
      <c r="B3">
        <v>40</v>
      </c>
      <c r="C3">
        <v>2</v>
      </c>
      <c r="D3" t="s">
        <v>436</v>
      </c>
      <c r="E3" s="39">
        <v>45576</v>
      </c>
      <c r="F3" s="108">
        <v>0.57638888888888884</v>
      </c>
      <c r="G3" s="108" t="s">
        <v>437</v>
      </c>
      <c r="H3" s="39">
        <v>45231</v>
      </c>
      <c r="I3" t="s">
        <v>435</v>
      </c>
      <c r="J3">
        <v>8</v>
      </c>
    </row>
    <row r="4" spans="1:10" x14ac:dyDescent="0.2">
      <c r="A4">
        <v>9</v>
      </c>
      <c r="B4">
        <v>0</v>
      </c>
      <c r="C4">
        <v>3</v>
      </c>
      <c r="D4" t="s">
        <v>438</v>
      </c>
      <c r="E4" s="39">
        <v>45574</v>
      </c>
      <c r="F4" s="108">
        <v>0.73958333333333337</v>
      </c>
      <c r="G4" s="108" t="s">
        <v>439</v>
      </c>
      <c r="H4" s="39">
        <v>45325</v>
      </c>
      <c r="I4">
        <v>3</v>
      </c>
      <c r="J4">
        <v>9</v>
      </c>
    </row>
    <row r="5" spans="1:10" x14ac:dyDescent="0.2">
      <c r="A5">
        <v>5</v>
      </c>
      <c r="B5">
        <v>120</v>
      </c>
      <c r="C5">
        <v>4</v>
      </c>
      <c r="D5" t="s">
        <v>436</v>
      </c>
      <c r="E5" s="39">
        <v>45573</v>
      </c>
      <c r="F5" s="108">
        <v>0.66666666666666663</v>
      </c>
      <c r="G5" t="s">
        <v>440</v>
      </c>
      <c r="H5" s="39">
        <v>45084</v>
      </c>
      <c r="I5">
        <v>3</v>
      </c>
      <c r="J5">
        <v>10</v>
      </c>
    </row>
    <row r="6" spans="1:10" x14ac:dyDescent="0.2">
      <c r="A6">
        <v>7</v>
      </c>
      <c r="B6">
        <v>12</v>
      </c>
      <c r="C6">
        <v>5</v>
      </c>
      <c r="D6" t="s">
        <v>438</v>
      </c>
      <c r="E6" s="39">
        <v>45566</v>
      </c>
      <c r="F6" s="108">
        <v>0.5229166666666667</v>
      </c>
      <c r="G6" t="s">
        <v>441</v>
      </c>
      <c r="H6" s="39">
        <v>45420</v>
      </c>
      <c r="I6" t="s">
        <v>440</v>
      </c>
      <c r="J6">
        <v>15</v>
      </c>
    </row>
  </sheetData>
  <dataValidations count="10">
    <dataValidation type="whole" errorStyle="warning" allowBlank="1" showInputMessage="1" showErrorMessage="1" sqref="A2:A6" xr:uid="{B9309757-E2F4-49A1-880B-2F47F04364D6}">
      <formula1>1</formula1>
      <formula2>5</formula2>
    </dataValidation>
    <dataValidation type="decimal" allowBlank="1" showInputMessage="1" showErrorMessage="1" sqref="B2:B6" xr:uid="{7B68D26A-1B1D-4327-906D-753CF39E281C}">
      <formula1>1</formula1>
      <formula2>100</formula2>
    </dataValidation>
    <dataValidation type="list" errorStyle="warning" allowBlank="1" showInputMessage="1" showErrorMessage="1" sqref="C2:C6" xr:uid="{1150F523-8C6C-482F-8738-910EECBB2A28}">
      <formula1>$C$2:$C$6</formula1>
    </dataValidation>
    <dataValidation type="date" errorStyle="warning" operator="notEqual" allowBlank="1" showInputMessage="1" showErrorMessage="1" sqref="E2:E6" xr:uid="{54DB89C3-BBA6-4A2D-B5BB-AC6E00AEE4DA}">
      <formula1>45575</formula1>
    </dataValidation>
    <dataValidation type="time" errorStyle="warning" allowBlank="1" showInputMessage="1" showErrorMessage="1" sqref="F2:F6" xr:uid="{EF20CA15-C64F-4A4E-82C5-8291CBEAEB85}">
      <formula1>0.625</formula1>
      <formula2>0.75</formula2>
    </dataValidation>
    <dataValidation type="textLength" errorStyle="warning" allowBlank="1" showInputMessage="1" showErrorMessage="1" sqref="G2:G6" xr:uid="{C9CA9AA5-9067-42E1-AC95-BEC22F4C4C16}">
      <formula1>1</formula1>
      <formula2>5</formula2>
    </dataValidation>
    <dataValidation type="custom" errorStyle="warning" allowBlank="1" showInputMessage="1" showErrorMessage="1" sqref="I2:I6" xr:uid="{B1282AE0-81A7-4F83-934D-520FB78380E5}">
      <formula1>ISNUMBER(I2)</formula1>
    </dataValidation>
    <dataValidation type="date" errorStyle="warning" operator="greaterThan" allowBlank="1" showInputMessage="1" showErrorMessage="1" sqref="H2:H6" xr:uid="{A800671A-DD3E-492C-AC04-70928416B8CA}">
      <formula1>45261</formula1>
    </dataValidation>
    <dataValidation type="list" errorStyle="warning" allowBlank="1" showInputMessage="1" showErrorMessage="1" sqref="D2:D6" xr:uid="{1E18A174-B5CF-4015-B7DC-F1491351E054}">
      <formula1>"option1,option2,option3"</formula1>
    </dataValidation>
    <dataValidation type="decimal" errorStyle="warning" allowBlank="1" showInputMessage="1" showErrorMessage="1" sqref="J2:J6" xr:uid="{17E9313A-2FD1-4622-924C-5610FB03D852}">
      <formula1>$A$2</formula1>
      <formula2>2+10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B5D6-D3ED-FD4F-886B-71BD0CB28755}">
  <dimension ref="A1"/>
  <sheetViews>
    <sheetView workbookViewId="0"/>
  </sheetViews>
  <sheetFormatPr defaultColWidth="11.42578125" defaultRowHeight="12.75" x14ac:dyDescent="0.2"/>
  <sheetData/>
  <sheetProtection sheet="1" objects="1" scenarios="1" selectLockedCells="1" selectUnlockedCell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6FE7B-5147-E945-A711-7FBABD0575D3}">
  <dimension ref="A1"/>
  <sheetViews>
    <sheetView workbookViewId="0">
      <selection activeCell="B4" sqref="B4"/>
    </sheetView>
  </sheetViews>
  <sheetFormatPr defaultColWidth="11.42578125" defaultRowHeight="12.75" x14ac:dyDescent="0.2"/>
  <sheetData/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</vt:i4>
      </vt:variant>
    </vt:vector>
  </HeadingPairs>
  <TitlesOfParts>
    <vt:vector size="19" baseType="lpstr">
      <vt:lpstr>Sheet1</vt:lpstr>
      <vt:lpstr>Formulas</vt:lpstr>
      <vt:lpstr>jestSheet</vt:lpstr>
      <vt:lpstr>jestStyles</vt:lpstr>
      <vt:lpstr>jestCfs</vt:lpstr>
      <vt:lpstr>jestTable</vt:lpstr>
      <vt:lpstr>jestPivot</vt:lpstr>
      <vt:lpstr>jestCharts</vt:lpstr>
      <vt:lpstr>jestMiscTest</vt:lpstr>
      <vt:lpstr>jestHiddenSheet</vt:lpstr>
      <vt:lpstr>jestFreezePane</vt:lpstr>
      <vt:lpstr>jestImages</vt:lpstr>
      <vt:lpstr>jestOneCellAnchor</vt:lpstr>
      <vt:lpstr>jestDataValidations</vt:lpstr>
      <vt:lpstr>jestLocked</vt:lpstr>
      <vt:lpstr>jestPartiallyLocked</vt:lpstr>
      <vt:lpstr>My_Named_Range</vt:lpstr>
      <vt:lpstr>Table_Col_Named_Range</vt:lpstr>
      <vt:lpstr>Table_Named_Range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Adrien Minne</cp:lastModifiedBy>
  <cp:revision/>
  <dcterms:created xsi:type="dcterms:W3CDTF">2022-02-10T15:47:12Z</dcterms:created>
  <dcterms:modified xsi:type="dcterms:W3CDTF">2026-10-28T07:36:29Z</dcterms:modified>
  <cp:category/>
  <cp:contentStatus/>
</cp:coreProperties>
</file>